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sheetMetadata+xml" PartName="/xl/metadata.xml"/>
  <Override ContentType="application/vnd.openxmlformats-officedocument.drawing+xml" PartName="/xl/drawings/drawing1.xml"/>
  <Override ContentType="application/vnd.openxmlformats-officedocument.drawingml.chart+xml" PartName="/xl/charts/chart1.xml"/>
  <Override ContentType="application/vnd.ms-office.chartstyle+xml" PartName="/xl/charts/style1.xml"/>
  <Override ContentType="application/vnd.ms-office.chartcolorstyle+xml" PartName="/xl/charts/colors1.xml"/>
  <Override ContentType="application/vnd.openxmlformats-officedocument.drawingml.chart+xml" PartName="/xl/charts/chart2.xml"/>
  <Override ContentType="application/vnd.openxmlformats-officedocument.drawingml.chartshapes+xml" PartName="/xl/drawings/drawing2.xml"/>
  <Override ContentType="application/vnd.openxmlformats-officedocument.drawingml.chart+xml" PartName="/xl/charts/chart3.xml"/>
  <Override ContentType="application/vnd.ms-office.chartstyle+xml" PartName="/xl/charts/style2.xml"/>
  <Override ContentType="application/vnd.ms-office.chartcolorstyle+xml" PartName="/xl/charts/colors2.xml"/>
  <Override ContentType="application/vnd.openxmlformats-officedocument.drawingml.chartshapes+xml" PartName="/xl/drawings/drawing3.xml"/>
  <Override ContentType="application/vnd.openxmlformats-officedocument.drawingml.chart+xml" PartName="/xl/charts/chart4.xml"/>
  <Override ContentType="application/vnd.ms-office.chartstyle+xml" PartName="/xl/charts/style3.xml"/>
  <Override ContentType="application/vnd.ms-office.chartcolorstyle+xml" PartName="/xl/charts/colors3.xml"/>
  <Override ContentType="application/vnd.openxmlformats-officedocument.drawingml.chart+xml" PartName="/xl/charts/chart5.xml"/>
  <Override ContentType="application/vnd.ms-office.chartstyle+xml" PartName="/xl/charts/style4.xml"/>
  <Override ContentType="application/vnd.ms-office.chartcolorstyle+xml" PartName="/xl/charts/colors4.xml"/>
  <Override ContentType="application/vnd.openxmlformats-officedocument.drawingml.chart+xml" PartName="/xl/charts/chart6.xml"/>
  <Override ContentType="application/vnd.openxmlformats-officedocument.themeOverride+xml" PartName="/xl/theme/themeOverride1.xml"/>
  <Override ContentType="application/vnd.openxmlformats-officedocument.drawingml.chartshapes+xml" PartName="/xl/drawings/drawing4.xml"/>
  <Override ContentType="application/vnd.openxmlformats-officedocument.drawingml.chart+xml" PartName="/xl/charts/chart7.xml"/>
  <Override ContentType="application/vnd.openxmlformats-officedocument.themeOverride+xml" PartName="/xl/theme/themeOverride2.xml"/>
  <Override ContentType="application/vnd.openxmlformats-officedocument.drawingml.chartshapes+xml" PartName="/xl/drawings/drawing5.xml"/>
  <Override ContentType="application/vnd.openxmlformats-officedocument.drawingml.chart+xml" PartName="/xl/charts/chart8.xml"/>
  <Override ContentType="application/vnd.openxmlformats-officedocument.themeOverride+xml" PartName="/xl/theme/themeOverride3.xml"/>
  <Override ContentType="application/vnd.openxmlformats-officedocument.drawingml.chartshapes+xml" PartName="/xl/drawings/drawing6.xml"/>
  <Override ContentType="application/vnd.openxmlformats-officedocument.drawingml.chart+xml" PartName="/xl/charts/chart9.xml"/>
  <Override ContentType="application/vnd.openxmlformats-officedocument.themeOverride+xml" PartName="/xl/theme/themeOverride4.xml"/>
  <Override ContentType="application/vnd.openxmlformats-officedocument.drawingml.chartshapes+xml" PartName="/xl/drawings/drawing7.xml"/>
  <Override ContentType="application/vnd.openxmlformats-officedocument.drawing+xml" PartName="/xl/drawings/drawing8.xml"/>
  <Override ContentType="application/vnd.openxmlformats-officedocument.drawingml.chart+xml" PartName="/xl/charts/chart10.xml"/>
  <Override ContentType="application/vnd.openxmlformats-officedocument.themeOverride+xml" PartName="/xl/theme/themeOverride5.xml"/>
  <Override ContentType="application/vnd.openxmlformats-officedocument.drawingml.chartshapes+xml" PartName="/xl/drawings/drawing9.xml"/>
  <Override ContentType="application/vnd.openxmlformats-officedocument.drawingml.chart+xml" PartName="/xl/charts/chart11.xml"/>
  <Override ContentType="application/vnd.openxmlformats-officedocument.themeOverride+xml" PartName="/xl/theme/themeOverride6.xml"/>
  <Override ContentType="application/vnd.openxmlformats-officedocument.drawingml.chartshapes+xml" PartName="/xl/drawings/drawing10.xml"/>
  <Override ContentType="application/vnd.openxmlformats-officedocument.drawingml.chart+xml" PartName="/xl/charts/chart12.xml"/>
  <Override ContentType="application/vnd.openxmlformats-officedocument.themeOverride+xml" PartName="/xl/theme/themeOverride7.xml"/>
  <Override ContentType="application/vnd.openxmlformats-officedocument.drawingml.chartshapes+xml" PartName="/xl/drawings/drawing11.xml"/>
  <Override ContentType="application/vnd.openxmlformats-officedocument.drawingml.chart+xml" PartName="/xl/charts/chart13.xml"/>
  <Override ContentType="application/vnd.openxmlformats-officedocument.themeOverride+xml" PartName="/xl/theme/themeOverride8.xml"/>
  <Override ContentType="application/vnd.openxmlformats-officedocument.drawingml.chartshapes+xml" PartName="/xl/drawings/drawing12.xml"/>
  <Override ContentType="application/vnd.openxmlformats-officedocument.drawingml.chart+xml" PartName="/xl/charts/chart14.xml"/>
  <Override ContentType="application/vnd.ms-office.chartstyle+xml" PartName="/xl/charts/style5.xml"/>
  <Override ContentType="application/vnd.ms-office.chartcolorstyle+xml" PartName="/xl/charts/colors5.xml"/>
  <Override ContentType="application/vnd.openxmlformats-officedocument.drawingml.chart+xml" PartName="/xl/charts/chart15.xml"/>
  <Override ContentType="application/vnd.ms-office.chartstyle+xml" PartName="/xl/charts/style6.xml"/>
  <Override ContentType="application/vnd.ms-office.chartcolorstyle+xml" PartName="/xl/charts/colors6.xml"/>
  <Override ContentType="application/vnd.openxmlformats-officedocument.drawing+xml" PartName="/xl/drawings/drawing13.xml"/>
  <Override ContentType="application/vnd.openxmlformats-officedocument.drawingml.chart+xml" PartName="/xl/charts/chart16.xml"/>
  <Override ContentType="application/vnd.openxmlformats-officedocument.themeOverride+xml" PartName="/xl/theme/themeOverride9.xml"/>
  <Override ContentType="application/vnd.openxmlformats-officedocument.drawingml.chartshapes+xml" PartName="/xl/drawings/drawing14.xml"/>
  <Override ContentType="application/vnd.openxmlformats-officedocument.drawingml.chart+xml" PartName="/xl/charts/chart17.xml"/>
  <Override ContentType="application/vnd.openxmlformats-officedocument.themeOverride+xml" PartName="/xl/theme/themeOverride10.xml"/>
  <Override ContentType="application/vnd.openxmlformats-officedocument.drawingml.chartshapes+xml" PartName="/xl/drawings/drawing15.xml"/>
  <Override ContentType="application/vnd.openxmlformats-officedocument.drawingml.chart+xml" PartName="/xl/charts/chart18.xml"/>
  <Override ContentType="application/vnd.openxmlformats-officedocument.themeOverride+xml" PartName="/xl/theme/themeOverride11.xml"/>
  <Override ContentType="application/vnd.openxmlformats-officedocument.drawingml.chartshapes+xml" PartName="/xl/drawings/drawing16.xml"/>
  <Override ContentType="application/vnd.openxmlformats-officedocument.drawingml.chart+xml" PartName="/xl/charts/chart19.xml"/>
  <Override ContentType="application/vnd.ms-office.chartstyle+xml" PartName="/xl/charts/style7.xml"/>
  <Override ContentType="application/vnd.ms-office.chartcolorstyle+xml" PartName="/xl/charts/colors7.xml"/>
  <Override ContentType="application/vnd.openxmlformats-officedocument.drawingml.chart+xml" PartName="/xl/charts/chart20.xml"/>
  <Override ContentType="application/vnd.openxmlformats-officedocument.drawingml.chartshapes+xml" PartName="/xl/drawings/drawing17.xml"/>
  <Override ContentType="application/vnd.openxmlformats-officedocument.drawingml.chart+xml" PartName="/xl/charts/chart21.xml"/>
  <Override ContentType="application/vnd.ms-office.chartstyle+xml" PartName="/xl/charts/style8.xml"/>
  <Override ContentType="application/vnd.ms-office.chartcolorstyle+xml" PartName="/xl/charts/colors8.xml"/>
  <Override ContentType="application/vnd.openxmlformats-officedocument.drawingml.chartshapes+xml" PartName="/xl/drawings/drawing18.xml"/>
  <Override ContentType="application/vnd.openxmlformats-officedocument.drawingml.chart+xml" PartName="/xl/charts/chart22.xml"/>
  <Override ContentType="application/vnd.ms-office.chartstyle+xml" PartName="/xl/charts/style9.xml"/>
  <Override ContentType="application/vnd.ms-office.chartcolorstyle+xml" PartName="/xl/charts/colors9.xml"/>
  <Override ContentType="application/vnd.openxmlformats-officedocument.drawingml.chart+xml" PartName="/xl/charts/chart23.xml"/>
  <Override ContentType="application/vnd.openxmlformats-officedocument.themeOverride+xml" PartName="/xl/theme/themeOverride12.xml"/>
  <Override ContentType="application/vnd.openxmlformats-officedocument.drawingml.chartshapes+xml" PartName="/xl/drawings/drawing19.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drawing+xml" PartName="/xl/drawings/drawing20.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3.xml"/>
  <Override ContentType="application/vnd.openxmlformats-officedocument.spreadsheetml.table+xml" PartName="/xl/tables/table4.xml"/>
  <Override ContentType="application/vnd.openxmlformats-officedocument.spreadsheetml.table+xml" PartName="/xl/tables/table5.xml"/>
  <Override ContentType="application/vnd.openxmlformats-officedocument.spreadsheetml.table+xml" PartName="/xl/tables/table6.xml"/>
  <Override ContentType="application/vnd.openxmlformats-officedocument.spreadsheetml.table+xml" PartName="/xl/tables/table7.xml"/>
  <Override ContentType="application/vnd.openxmlformats-officedocument.spreadsheetml.table+xml" PartName="/xl/tables/table8.xml"/>
  <Override ContentType="application/vnd.openxmlformats-officedocument.spreadsheetml.table+xml" PartName="/xl/tables/table9.xml"/>
  <Override ContentType="application/vnd.openxmlformats-officedocument.spreadsheetml.table+xml" PartName="/xl/tables/table10.xml"/>
  <Override ContentType="application/vnd.openxmlformats-officedocument.spreadsheetml.table+xml" PartName="/xl/tables/table11.xml"/>
  <Override ContentType="application/vnd.openxmlformats-officedocument.spreadsheetml.table+xml" PartName="/xl/tables/table12.xml"/>
  <Override ContentType="application/vnd.openxmlformats-officedocument.spreadsheetml.comments+xml" PartName="/xl/comments3.xml"/>
  <Override ContentType="application/vnd.openxmlformats-officedocument.drawingml.chart+xml" PartName="/xl/charts/chart24.xml"/>
  <Override ContentType="application/vnd.openxmlformats-officedocument.themeOverride+xml" PartName="/xl/theme/themeOverride13.xml"/>
  <Override ContentType="application/vnd.openxmlformats-officedocument.drawingml.chartshapes+xml" PartName="/xl/drawings/drawing21.xml"/>
  <Override ContentType="application/vnd.openxmlformats-officedocument.spreadsheetml.calcChain+xml" PartName="/xl/calcChain.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 ?><Relationships xmlns="http://schemas.openxmlformats.org/package/2006/relationships"><Relationship Id="rId3" Target="docProps/app.xml" Type="http://schemas.openxmlformats.org/officeDocument/2006/relationships/extended-properties"/><Relationship Id="rId2" Target="docProps/core.xml" Type="http://schemas.openxmlformats.org/package/2006/relationships/metadata/core-properties"/><Relationship Id="rId1" Target="xl/workbook.xml" Type="http://schemas.openxmlformats.org/officeDocument/2006/relationships/officeDocument"/><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hidePivotFieldList="1" defaultThemeVersion="166925"/>
  <mc:AlternateContent xmlns:mc="http://schemas.openxmlformats.org/markup-compatibility/2006">
    <mc:Choice Requires="x15">
      <x15ac:absPath xmlns:x15ac="http://schemas.microsoft.com/office/spreadsheetml/2010/11/ac" url="D:\Yulieth\Desktop\2023 SECRETARIA\Contrato 145 ACTIVO\TABLERO DE INDICADORES\"/>
    </mc:Choice>
  </mc:AlternateContent>
  <xr:revisionPtr revIDLastSave="0" documentId="13_ncr:1_{1B2E5495-3B97-4504-B8F4-0B668D95036D}" xr6:coauthVersionLast="47" xr6:coauthVersionMax="47" xr10:uidLastSave="{00000000-0000-0000-0000-000000000000}"/>
  <bookViews>
    <workbookView xWindow="1860" yWindow="1365" windowWidth="9600" windowHeight="9435" xr2:uid="{69C5F4B3-2783-44A2-A138-953D33825A5D}"/>
  </bookViews>
  <sheets>
    <sheet name="AGOSTO 2023" sheetId="9" r:id="rId1"/>
    <sheet name="PRINCIPAL (2)" sheetId="7" state="hidden" r:id="rId2"/>
    <sheet name="Con otro color" sheetId="18" state="hidden" r:id="rId3"/>
    <sheet name="DATOS" sheetId="2" state="hidden" r:id="rId4"/>
    <sheet name="EJECUCIÓN DIF" sheetId="19" state="hidden" r:id="rId5"/>
    <sheet name="FORMULAS%" sheetId="17" state="hidden" r:id="rId6"/>
  </sheets>
  <externalReferences>
    <externalReference r:id="rId7"/>
    <externalReference r:id="rId8"/>
    <externalReference r:id="rId9"/>
    <externalReference r:id="rId10"/>
    <externalReference r:id="rId11"/>
  </externalReferences>
  <definedNames>
    <definedName name="_xlnm._FilterDatabase" localSheetId="3" hidden="1">DATOS!$A$1:$DP$164</definedName>
    <definedName name="_xlnm._FilterDatabase" localSheetId="4" hidden="1">'EJECUCIÓN DIF'!$K$3:$N$66</definedName>
    <definedName name="_xlnm._FilterDatabase" localSheetId="5" hidden="1">'FORMULAS%'!$I$1:$O$23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2" i="17" l="1"/>
  <c r="CH5" i="2"/>
  <c r="CH6" i="2"/>
  <c r="CH7" i="2"/>
  <c r="CH8" i="2"/>
  <c r="CH9" i="2"/>
  <c r="CH10" i="2"/>
  <c r="CH11" i="2"/>
  <c r="CH12" i="2"/>
  <c r="CH13" i="2"/>
  <c r="CH14" i="2"/>
  <c r="CH15" i="2"/>
  <c r="CH16" i="2"/>
  <c r="CH17" i="2"/>
  <c r="CH18" i="2"/>
  <c r="CH19" i="2"/>
  <c r="CH20" i="2"/>
  <c r="CH21" i="2"/>
  <c r="CH22" i="2"/>
  <c r="CH23" i="2"/>
  <c r="CH24" i="2"/>
  <c r="CH25" i="2"/>
  <c r="CH26" i="2"/>
  <c r="CH27" i="2"/>
  <c r="CH28" i="2"/>
  <c r="CH29" i="2"/>
  <c r="CH30" i="2"/>
  <c r="CH31" i="2"/>
  <c r="CH32" i="2"/>
  <c r="CH33" i="2"/>
  <c r="CH34" i="2"/>
  <c r="CH35" i="2"/>
  <c r="CH36" i="2"/>
  <c r="CH37" i="2"/>
  <c r="CH38" i="2"/>
  <c r="CH39" i="2"/>
  <c r="CH40" i="2"/>
  <c r="CH41" i="2"/>
  <c r="CH42" i="2"/>
  <c r="CH43" i="2"/>
  <c r="CH44" i="2"/>
  <c r="CH45" i="2"/>
  <c r="CH46" i="2"/>
  <c r="CH47" i="2"/>
  <c r="CH48" i="2"/>
  <c r="CH49" i="2"/>
  <c r="CH50" i="2"/>
  <c r="CH51" i="2"/>
  <c r="CH52" i="2"/>
  <c r="CH53" i="2"/>
  <c r="CH54" i="2"/>
  <c r="CH55" i="2"/>
  <c r="CH56" i="2"/>
  <c r="CH57" i="2"/>
  <c r="CH58" i="2"/>
  <c r="CH59" i="2"/>
  <c r="CH60" i="2"/>
  <c r="CH61" i="2"/>
  <c r="CH62" i="2"/>
  <c r="CH63" i="2"/>
  <c r="CH64" i="2"/>
  <c r="CH65" i="2"/>
  <c r="CH66" i="2"/>
  <c r="CH67" i="2"/>
  <c r="CH68" i="2"/>
  <c r="CH69" i="2"/>
  <c r="CH70" i="2"/>
  <c r="CH71" i="2"/>
  <c r="CH72" i="2"/>
  <c r="CH73" i="2"/>
  <c r="CH74" i="2"/>
  <c r="CH75" i="2"/>
  <c r="CH76" i="2"/>
  <c r="CH77" i="2"/>
  <c r="CH78" i="2"/>
  <c r="CH79" i="2"/>
  <c r="CH80" i="2"/>
  <c r="CH81" i="2"/>
  <c r="CH82" i="2"/>
  <c r="CH83" i="2"/>
  <c r="CH84" i="2"/>
  <c r="CH85" i="2"/>
  <c r="CH86" i="2"/>
  <c r="CH87" i="2"/>
  <c r="CH88" i="2"/>
  <c r="CH89" i="2"/>
  <c r="CH90" i="2"/>
  <c r="CH91" i="2"/>
  <c r="CH92" i="2"/>
  <c r="CH93" i="2"/>
  <c r="CH94" i="2"/>
  <c r="CH95" i="2"/>
  <c r="CH96" i="2"/>
  <c r="CH97" i="2"/>
  <c r="CH98" i="2"/>
  <c r="CH99" i="2"/>
  <c r="CH100" i="2"/>
  <c r="CH101" i="2"/>
  <c r="CH102" i="2"/>
  <c r="CH103" i="2"/>
  <c r="CH104" i="2"/>
  <c r="CH105" i="2"/>
  <c r="CH106" i="2"/>
  <c r="CH107" i="2"/>
  <c r="CH108" i="2"/>
  <c r="CH109" i="2"/>
  <c r="CH110" i="2"/>
  <c r="CH111" i="2"/>
  <c r="CH112" i="2"/>
  <c r="CH113" i="2"/>
  <c r="CH114" i="2"/>
  <c r="CH115" i="2"/>
  <c r="CH116" i="2"/>
  <c r="CH117" i="2"/>
  <c r="CH118" i="2"/>
  <c r="CH119" i="2"/>
  <c r="CH120" i="2"/>
  <c r="CH121" i="2"/>
  <c r="CH122" i="2"/>
  <c r="CH123" i="2"/>
  <c r="CH124" i="2"/>
  <c r="CH125" i="2"/>
  <c r="CH126" i="2"/>
  <c r="CH127" i="2"/>
  <c r="CH128" i="2"/>
  <c r="CH129" i="2"/>
  <c r="CH130" i="2"/>
  <c r="CH131" i="2"/>
  <c r="CH132" i="2"/>
  <c r="CH133" i="2"/>
  <c r="CH134" i="2"/>
  <c r="CH135" i="2"/>
  <c r="CH136" i="2"/>
  <c r="CH137" i="2"/>
  <c r="CH138" i="2"/>
  <c r="CH139" i="2"/>
  <c r="CH140" i="2"/>
  <c r="CH141" i="2"/>
  <c r="CH142" i="2"/>
  <c r="CH143" i="2"/>
  <c r="CH144" i="2"/>
  <c r="CH145" i="2"/>
  <c r="CH146" i="2"/>
  <c r="CH147" i="2"/>
  <c r="CH148" i="2"/>
  <c r="CH149" i="2"/>
  <c r="CH150" i="2"/>
  <c r="CH151" i="2"/>
  <c r="CH152" i="2"/>
  <c r="CH153" i="2"/>
  <c r="CH154" i="2"/>
  <c r="CH155" i="2"/>
  <c r="CH156" i="2"/>
  <c r="CH157" i="2"/>
  <c r="CH158" i="2"/>
  <c r="CH159" i="2"/>
  <c r="CH160" i="2"/>
  <c r="CH161" i="2"/>
  <c r="CH162" i="2"/>
  <c r="CH163" i="2"/>
  <c r="CH164" i="2"/>
  <c r="CH4" i="2"/>
  <c r="DP90" i="2" l="1"/>
  <c r="DO90" i="2"/>
  <c r="DN90" i="2"/>
  <c r="DM90" i="2"/>
  <c r="DL90" i="2"/>
  <c r="DK90" i="2"/>
  <c r="DJ90" i="2"/>
  <c r="DI90" i="2"/>
  <c r="DH90" i="2"/>
  <c r="DG90" i="2"/>
  <c r="DF90" i="2"/>
  <c r="DE90" i="2"/>
  <c r="DD90" i="2"/>
  <c r="DC90" i="2"/>
  <c r="DB90" i="2"/>
  <c r="DA90" i="2"/>
  <c r="CZ90" i="2"/>
  <c r="CY90" i="2"/>
  <c r="CX90" i="2"/>
  <c r="CW90" i="2"/>
  <c r="CV90" i="2"/>
  <c r="CU90" i="2"/>
  <c r="CT90" i="2"/>
  <c r="CS90" i="2"/>
  <c r="CR90" i="2"/>
  <c r="CQ90" i="2"/>
  <c r="AV90" i="2"/>
  <c r="AU90" i="2"/>
  <c r="AT90" i="2"/>
  <c r="AS90" i="2"/>
  <c r="AR90" i="2"/>
  <c r="AR62" i="2"/>
  <c r="DP62" i="2"/>
  <c r="DO62" i="2"/>
  <c r="DN62" i="2"/>
  <c r="DM62" i="2"/>
  <c r="DL62" i="2"/>
  <c r="DK62" i="2"/>
  <c r="DJ62" i="2"/>
  <c r="DI62" i="2"/>
  <c r="DH62" i="2"/>
  <c r="DG62" i="2"/>
  <c r="DF62" i="2"/>
  <c r="DE62" i="2"/>
  <c r="DD62" i="2"/>
  <c r="DC62" i="2"/>
  <c r="DB62" i="2"/>
  <c r="DA62" i="2"/>
  <c r="CZ62" i="2"/>
  <c r="CY62" i="2"/>
  <c r="CX62" i="2"/>
  <c r="CW62" i="2"/>
  <c r="CV62" i="2"/>
  <c r="CU62" i="2"/>
  <c r="CT62" i="2"/>
  <c r="CS62" i="2"/>
  <c r="CR62" i="2"/>
  <c r="CQ62" i="2"/>
  <c r="AV62" i="2"/>
  <c r="AU62" i="2"/>
  <c r="AT62" i="2"/>
  <c r="AS62" i="2"/>
  <c r="DP51" i="2"/>
  <c r="DO51" i="2"/>
  <c r="DN51" i="2"/>
  <c r="DM51" i="2"/>
  <c r="DL51" i="2"/>
  <c r="DK51" i="2"/>
  <c r="DJ51" i="2"/>
  <c r="DI51" i="2"/>
  <c r="DH51" i="2"/>
  <c r="DG51" i="2"/>
  <c r="DF51" i="2"/>
  <c r="DE51" i="2"/>
  <c r="DD51" i="2"/>
  <c r="DC51" i="2"/>
  <c r="DB51" i="2"/>
  <c r="DA51" i="2"/>
  <c r="CZ51" i="2"/>
  <c r="CY51" i="2"/>
  <c r="CX51" i="2"/>
  <c r="CW51" i="2"/>
  <c r="CV51" i="2"/>
  <c r="CU51" i="2"/>
  <c r="CT51" i="2"/>
  <c r="CS51" i="2"/>
  <c r="CR51" i="2"/>
  <c r="CQ51" i="2"/>
  <c r="AV51" i="2"/>
  <c r="AU51" i="2"/>
  <c r="AT51" i="2"/>
  <c r="AS51" i="2"/>
  <c r="AR51" i="2"/>
  <c r="DP46" i="2"/>
  <c r="DO46" i="2"/>
  <c r="DN46" i="2"/>
  <c r="DM46" i="2"/>
  <c r="DL46" i="2"/>
  <c r="DK46" i="2"/>
  <c r="DJ46" i="2"/>
  <c r="DI46" i="2"/>
  <c r="DH46" i="2"/>
  <c r="DG46" i="2"/>
  <c r="DF46" i="2"/>
  <c r="DE46" i="2"/>
  <c r="DD46" i="2"/>
  <c r="DC46" i="2"/>
  <c r="DB46" i="2"/>
  <c r="DA46" i="2"/>
  <c r="CZ46" i="2"/>
  <c r="CY46" i="2"/>
  <c r="CX46" i="2"/>
  <c r="CW46" i="2"/>
  <c r="CV46" i="2"/>
  <c r="CU46" i="2"/>
  <c r="CT46" i="2"/>
  <c r="CS46" i="2"/>
  <c r="CR46" i="2"/>
  <c r="CQ46" i="2"/>
  <c r="AV46" i="2"/>
  <c r="AU46" i="2"/>
  <c r="AT46" i="2"/>
  <c r="AS46" i="2"/>
  <c r="AR46" i="2"/>
  <c r="AO44" i="2" l="1"/>
  <c r="AT25" i="2"/>
  <c r="AV15" i="2" l="1"/>
  <c r="H69" i="9"/>
  <c r="DP42" i="2" l="1"/>
  <c r="DO42" i="2"/>
  <c r="DN42" i="2"/>
  <c r="DM42" i="2"/>
  <c r="DL42" i="2"/>
  <c r="DK42" i="2"/>
  <c r="DJ42" i="2"/>
  <c r="DI42" i="2"/>
  <c r="DH42" i="2"/>
  <c r="DG42" i="2"/>
  <c r="DF42" i="2"/>
  <c r="DE42" i="2"/>
  <c r="DD42" i="2"/>
  <c r="DC42" i="2"/>
  <c r="DB42" i="2"/>
  <c r="DA42" i="2"/>
  <c r="CZ42" i="2"/>
  <c r="CY42" i="2"/>
  <c r="CX42" i="2"/>
  <c r="CW42" i="2"/>
  <c r="CV42" i="2"/>
  <c r="CU42" i="2"/>
  <c r="CT42" i="2"/>
  <c r="CS42" i="2"/>
  <c r="CR42" i="2"/>
  <c r="CQ42" i="2"/>
  <c r="AV42" i="2"/>
  <c r="AU42" i="2"/>
  <c r="AT42" i="2"/>
  <c r="AS42" i="2"/>
  <c r="AR42" i="2"/>
  <c r="DP40" i="2"/>
  <c r="DO40" i="2"/>
  <c r="DN40" i="2"/>
  <c r="DM40" i="2"/>
  <c r="DL40" i="2"/>
  <c r="DK40" i="2"/>
  <c r="DJ40" i="2"/>
  <c r="DI40" i="2"/>
  <c r="DH40" i="2"/>
  <c r="DG40" i="2"/>
  <c r="DF40" i="2"/>
  <c r="DE40" i="2"/>
  <c r="DD40" i="2"/>
  <c r="DC40" i="2"/>
  <c r="DB40" i="2"/>
  <c r="DA40" i="2"/>
  <c r="CZ40" i="2"/>
  <c r="CY40" i="2"/>
  <c r="CX40" i="2"/>
  <c r="CW40" i="2"/>
  <c r="CV40" i="2"/>
  <c r="CU40" i="2"/>
  <c r="CT40" i="2"/>
  <c r="CS40" i="2"/>
  <c r="CR40" i="2"/>
  <c r="CQ40" i="2"/>
  <c r="AV40" i="2"/>
  <c r="AU40" i="2"/>
  <c r="AT40" i="2"/>
  <c r="AS40" i="2"/>
  <c r="AR40" i="2"/>
  <c r="DP28" i="2"/>
  <c r="DO28" i="2"/>
  <c r="DN28" i="2"/>
  <c r="DM28" i="2"/>
  <c r="DL28" i="2"/>
  <c r="DK28" i="2"/>
  <c r="DJ28" i="2"/>
  <c r="DI28" i="2"/>
  <c r="DH28" i="2"/>
  <c r="DG28" i="2"/>
  <c r="DF28" i="2"/>
  <c r="DE28" i="2"/>
  <c r="DD28" i="2"/>
  <c r="DC28" i="2"/>
  <c r="DB28" i="2"/>
  <c r="DA28" i="2"/>
  <c r="CZ28" i="2"/>
  <c r="CY28" i="2"/>
  <c r="CX28" i="2"/>
  <c r="CW28" i="2"/>
  <c r="CV28" i="2"/>
  <c r="CU28" i="2"/>
  <c r="CT28" i="2"/>
  <c r="CS28" i="2"/>
  <c r="CR28" i="2"/>
  <c r="CQ28" i="2"/>
  <c r="AV28" i="2"/>
  <c r="AU28" i="2"/>
  <c r="AT28" i="2"/>
  <c r="AR28" i="2"/>
  <c r="AS28" i="2"/>
  <c r="DP27" i="2"/>
  <c r="DO27" i="2"/>
  <c r="DN27" i="2"/>
  <c r="DM27" i="2"/>
  <c r="DL27" i="2"/>
  <c r="DK27" i="2"/>
  <c r="DJ27" i="2"/>
  <c r="DI27" i="2"/>
  <c r="DH27" i="2"/>
  <c r="DG27" i="2"/>
  <c r="DF27" i="2"/>
  <c r="DE27" i="2"/>
  <c r="DD27" i="2"/>
  <c r="DC27" i="2"/>
  <c r="DB27" i="2"/>
  <c r="DA27" i="2"/>
  <c r="CZ27" i="2"/>
  <c r="CY27" i="2"/>
  <c r="CX27" i="2"/>
  <c r="CW27" i="2"/>
  <c r="CV27" i="2"/>
  <c r="CU27" i="2"/>
  <c r="CT27" i="2"/>
  <c r="CS27" i="2"/>
  <c r="CR27" i="2"/>
  <c r="CQ27" i="2"/>
  <c r="AV27" i="2"/>
  <c r="AU27" i="2"/>
  <c r="AT27" i="2"/>
  <c r="AR27" i="2"/>
  <c r="AS27" i="2"/>
  <c r="G69" i="9" l="1"/>
  <c r="T2" i="17" l="1"/>
  <c r="R2" i="17"/>
  <c r="L76" i="9"/>
  <c r="L75" i="9"/>
  <c r="L74" i="9"/>
  <c r="L73" i="9"/>
  <c r="L72" i="9"/>
  <c r="L71" i="9"/>
  <c r="L70" i="9"/>
  <c r="L69" i="9"/>
  <c r="L68" i="9"/>
  <c r="L67" i="9"/>
  <c r="K76" i="9"/>
  <c r="K75" i="9"/>
  <c r="K74" i="9"/>
  <c r="K73" i="9"/>
  <c r="K72" i="9"/>
  <c r="K71" i="9"/>
  <c r="K70" i="9"/>
  <c r="K69" i="9"/>
  <c r="K68" i="9"/>
  <c r="K67" i="9"/>
  <c r="L66" i="9"/>
  <c r="K66" i="9"/>
  <c r="L65" i="9"/>
  <c r="K65" i="9"/>
  <c r="B2" i="2"/>
  <c r="U2" i="17"/>
  <c r="V2" i="17"/>
  <c r="U5" i="17"/>
  <c r="V5" i="17"/>
  <c r="T5" i="17"/>
  <c r="AT8" i="2"/>
  <c r="AT7" i="2"/>
  <c r="AT6" i="2"/>
  <c r="AT5" i="2"/>
  <c r="AT4" i="2"/>
  <c r="AT9" i="2" l="1"/>
  <c r="AT10" i="2"/>
  <c r="AT11" i="2"/>
  <c r="AT12" i="2"/>
  <c r="D23" i="17" s="1"/>
  <c r="AT13" i="2"/>
  <c r="AT14" i="2"/>
  <c r="AT15" i="2"/>
  <c r="AT16" i="2"/>
  <c r="AT17" i="2"/>
  <c r="AT18" i="2"/>
  <c r="AT19" i="2"/>
  <c r="AT20" i="2"/>
  <c r="D9" i="17" s="1"/>
  <c r="AT21" i="2"/>
  <c r="AT22" i="2"/>
  <c r="AT23" i="2"/>
  <c r="AT24" i="2"/>
  <c r="AT85" i="2"/>
  <c r="M2" i="17" s="1"/>
  <c r="AT26" i="2"/>
  <c r="AT29" i="2"/>
  <c r="AT30" i="2"/>
  <c r="AT31" i="2"/>
  <c r="AT91" i="2"/>
  <c r="AT32" i="2"/>
  <c r="AT33" i="2"/>
  <c r="AT34" i="2"/>
  <c r="AT35" i="2"/>
  <c r="AT36" i="2"/>
  <c r="AT37" i="2"/>
  <c r="M9" i="17" s="1"/>
  <c r="AT38" i="2"/>
  <c r="AT39" i="2"/>
  <c r="AT41" i="2"/>
  <c r="AT43" i="2"/>
  <c r="AT44" i="2"/>
  <c r="AT45" i="2"/>
  <c r="AT87" i="2"/>
  <c r="AT47" i="2"/>
  <c r="AT48" i="2"/>
  <c r="AT88" i="2"/>
  <c r="AT50" i="2"/>
  <c r="AT49" i="2"/>
  <c r="AT89" i="2"/>
  <c r="AT52" i="2"/>
  <c r="AT53" i="2"/>
  <c r="AT54" i="2"/>
  <c r="AT55" i="2"/>
  <c r="AT56" i="2"/>
  <c r="AT57" i="2"/>
  <c r="AT58" i="2"/>
  <c r="AT59" i="2"/>
  <c r="AT60" i="2"/>
  <c r="AT61" i="2"/>
  <c r="AT86" i="2"/>
  <c r="AT63" i="2"/>
  <c r="AT64" i="2"/>
  <c r="AT65" i="2"/>
  <c r="AT66" i="2"/>
  <c r="AT67" i="2"/>
  <c r="AT68" i="2"/>
  <c r="AT74" i="2"/>
  <c r="AT75" i="2"/>
  <c r="AT76" i="2"/>
  <c r="AT69" i="2"/>
  <c r="AT70" i="2"/>
  <c r="AT71" i="2"/>
  <c r="AT72" i="2"/>
  <c r="AT73" i="2"/>
  <c r="AT77" i="2"/>
  <c r="AT78" i="2"/>
  <c r="AT79" i="2"/>
  <c r="AT80" i="2"/>
  <c r="AT81" i="2"/>
  <c r="AT82" i="2"/>
  <c r="AT83" i="2"/>
  <c r="AT84" i="2"/>
  <c r="AT92" i="2"/>
  <c r="AT93" i="2"/>
  <c r="AT94" i="2"/>
  <c r="AT95" i="2"/>
  <c r="AT96" i="2"/>
  <c r="AT97" i="2"/>
  <c r="AT98" i="2"/>
  <c r="AT99" i="2"/>
  <c r="AT100" i="2"/>
  <c r="AT101" i="2"/>
  <c r="AT102" i="2"/>
  <c r="AT103" i="2"/>
  <c r="AT104" i="2"/>
  <c r="AT105" i="2"/>
  <c r="AT106" i="2"/>
  <c r="AT107" i="2"/>
  <c r="AT108" i="2"/>
  <c r="AT109" i="2"/>
  <c r="AT110" i="2"/>
  <c r="AT111" i="2"/>
  <c r="AT112" i="2"/>
  <c r="AT113" i="2"/>
  <c r="AT114" i="2"/>
  <c r="DP49" i="2"/>
  <c r="DO49" i="2"/>
  <c r="DN49" i="2"/>
  <c r="DM49" i="2"/>
  <c r="DL49" i="2"/>
  <c r="DK49" i="2"/>
  <c r="DJ49" i="2"/>
  <c r="DI49" i="2"/>
  <c r="DH49" i="2"/>
  <c r="DG49" i="2"/>
  <c r="DF49" i="2"/>
  <c r="DE49" i="2"/>
  <c r="AR49" i="2"/>
  <c r="AS49" i="2"/>
  <c r="AU49" i="2"/>
  <c r="AV49" i="2"/>
  <c r="DE4" i="2"/>
  <c r="F115" i="17"/>
  <c r="F113" i="17"/>
  <c r="F109" i="17"/>
  <c r="F107" i="17"/>
  <c r="F105" i="17"/>
  <c r="F103" i="17"/>
  <c r="AR4" i="2"/>
  <c r="H73" i="9"/>
  <c r="H71" i="9"/>
  <c r="H67" i="9"/>
  <c r="H65" i="9"/>
  <c r="G73" i="9"/>
  <c r="G71" i="9"/>
  <c r="G65" i="9"/>
  <c r="AD90" i="18"/>
  <c r="AB90" i="18" a="1"/>
  <c r="AB90" i="18" s="1"/>
  <c r="AD82" i="18"/>
  <c r="AB82" i="18" a="1"/>
  <c r="AB82" i="18" s="1"/>
  <c r="C82" i="18"/>
  <c r="AD76" i="18"/>
  <c r="AB76" i="18" a="1"/>
  <c r="AB76" i="18" s="1"/>
  <c r="L76" i="18"/>
  <c r="K76" i="18"/>
  <c r="L75" i="18"/>
  <c r="K75" i="18"/>
  <c r="AD74" i="18"/>
  <c r="AB74" i="18" a="1"/>
  <c r="AB74" i="18" s="1"/>
  <c r="N74" i="18"/>
  <c r="L74" i="18"/>
  <c r="K74" i="18"/>
  <c r="L73" i="18"/>
  <c r="K73" i="18"/>
  <c r="H73" i="18"/>
  <c r="G73" i="18"/>
  <c r="L72" i="18"/>
  <c r="K72" i="18"/>
  <c r="L71" i="18"/>
  <c r="K71" i="18"/>
  <c r="H71" i="18"/>
  <c r="G71" i="18"/>
  <c r="N70" i="18"/>
  <c r="L70" i="18"/>
  <c r="K70" i="18"/>
  <c r="L69" i="18"/>
  <c r="K69" i="18"/>
  <c r="G69" i="18"/>
  <c r="L68" i="18"/>
  <c r="K68" i="18"/>
  <c r="L67" i="18"/>
  <c r="K67" i="18"/>
  <c r="H67" i="18"/>
  <c r="G67" i="18"/>
  <c r="N66" i="18"/>
  <c r="L66" i="18"/>
  <c r="K66" i="18"/>
  <c r="L65" i="18"/>
  <c r="K65" i="18"/>
  <c r="H65" i="18"/>
  <c r="G65" i="18"/>
  <c r="P61" i="18"/>
  <c r="O61" i="18"/>
  <c r="N61" i="18"/>
  <c r="M61" i="18"/>
  <c r="L61" i="18"/>
  <c r="K61" i="18"/>
  <c r="J61" i="18"/>
  <c r="I61" i="18"/>
  <c r="H61" i="18"/>
  <c r="G61" i="18"/>
  <c r="F61" i="18"/>
  <c r="E61" i="18"/>
  <c r="D61" i="18"/>
  <c r="C61" i="18"/>
  <c r="P60" i="18"/>
  <c r="O60" i="18"/>
  <c r="N60" i="18"/>
  <c r="M60" i="18"/>
  <c r="L60" i="18"/>
  <c r="K60" i="18"/>
  <c r="J60" i="18"/>
  <c r="I60" i="18"/>
  <c r="H60" i="18"/>
  <c r="G60" i="18"/>
  <c r="F60" i="18"/>
  <c r="E60" i="18"/>
  <c r="D60" i="18"/>
  <c r="C60" i="18"/>
  <c r="O57" i="18"/>
  <c r="M57" i="18"/>
  <c r="I57" i="18"/>
  <c r="F57" i="18"/>
  <c r="O55" i="18"/>
  <c r="F55" i="18"/>
  <c r="F53" i="18"/>
  <c r="CQ84" i="2"/>
  <c r="AV84" i="2"/>
  <c r="AU84" i="2"/>
  <c r="AS84" i="2"/>
  <c r="AR84" i="2"/>
  <c r="CQ83" i="2"/>
  <c r="AV83" i="2"/>
  <c r="AU83" i="2"/>
  <c r="AS83" i="2"/>
  <c r="AR83" i="2"/>
  <c r="CQ82" i="2"/>
  <c r="AV82" i="2"/>
  <c r="AU82" i="2"/>
  <c r="AS82" i="2"/>
  <c r="AR82" i="2"/>
  <c r="CQ81" i="2"/>
  <c r="AV81" i="2"/>
  <c r="AU81" i="2"/>
  <c r="AS81" i="2"/>
  <c r="AR81" i="2"/>
  <c r="CQ80" i="2"/>
  <c r="AV80" i="2"/>
  <c r="AU80" i="2"/>
  <c r="AS80" i="2"/>
  <c r="AR80" i="2"/>
  <c r="CQ79" i="2"/>
  <c r="AV79" i="2"/>
  <c r="AU79" i="2"/>
  <c r="AS79" i="2"/>
  <c r="AR79" i="2"/>
  <c r="CQ78" i="2"/>
  <c r="AV78" i="2"/>
  <c r="AU78" i="2"/>
  <c r="AS78" i="2"/>
  <c r="AR78" i="2"/>
  <c r="CQ77" i="2"/>
  <c r="AV77" i="2"/>
  <c r="AU77" i="2"/>
  <c r="AS77" i="2"/>
  <c r="AR77" i="2"/>
  <c r="CQ76" i="2"/>
  <c r="AV76" i="2"/>
  <c r="AU76" i="2"/>
  <c r="AS76" i="2"/>
  <c r="AR76" i="2"/>
  <c r="CQ75" i="2"/>
  <c r="AV75" i="2"/>
  <c r="AU75" i="2"/>
  <c r="AS75" i="2"/>
  <c r="AR75" i="2"/>
  <c r="CQ74" i="2"/>
  <c r="AV74" i="2"/>
  <c r="AU74" i="2"/>
  <c r="AS74" i="2"/>
  <c r="AR74" i="2"/>
  <c r="CQ73" i="2"/>
  <c r="AV73" i="2"/>
  <c r="AU73" i="2"/>
  <c r="AS73" i="2"/>
  <c r="AR73" i="2"/>
  <c r="CQ72" i="2"/>
  <c r="AV72" i="2"/>
  <c r="AU72" i="2"/>
  <c r="AS72" i="2"/>
  <c r="AR72" i="2"/>
  <c r="CQ71" i="2"/>
  <c r="AV71" i="2"/>
  <c r="AU71" i="2"/>
  <c r="AS71" i="2"/>
  <c r="AR71" i="2"/>
  <c r="CQ70" i="2"/>
  <c r="AV70" i="2"/>
  <c r="AU70" i="2"/>
  <c r="AS70" i="2"/>
  <c r="AR70" i="2"/>
  <c r="CQ69" i="2"/>
  <c r="AV69" i="2"/>
  <c r="AU69" i="2"/>
  <c r="AS69" i="2"/>
  <c r="AR69" i="2"/>
  <c r="CQ68" i="2"/>
  <c r="AV68" i="2"/>
  <c r="AU68" i="2"/>
  <c r="AS68" i="2"/>
  <c r="AR68" i="2"/>
  <c r="CQ26" i="2"/>
  <c r="AV26" i="2"/>
  <c r="AU26" i="2"/>
  <c r="AS26" i="2"/>
  <c r="AR26" i="2"/>
  <c r="CQ25" i="2"/>
  <c r="AV25" i="2"/>
  <c r="AU25" i="2"/>
  <c r="AS25" i="2"/>
  <c r="AR25" i="2"/>
  <c r="CQ4" i="2"/>
  <c r="AV4" i="2"/>
  <c r="AU4" i="2"/>
  <c r="AS4" i="2"/>
  <c r="X4" i="2"/>
  <c r="CQ91" i="2"/>
  <c r="AV91" i="2"/>
  <c r="AU91" i="2"/>
  <c r="AS91" i="2"/>
  <c r="AR91" i="2"/>
  <c r="CQ30" i="2"/>
  <c r="AV30" i="2"/>
  <c r="AU30" i="2"/>
  <c r="AS30" i="2"/>
  <c r="AR30" i="2"/>
  <c r="CQ65" i="2"/>
  <c r="AV65" i="2"/>
  <c r="AU65" i="2"/>
  <c r="AS65" i="2"/>
  <c r="AR65" i="2"/>
  <c r="CQ64" i="2"/>
  <c r="AV64" i="2"/>
  <c r="AU64" i="2"/>
  <c r="AS64" i="2"/>
  <c r="AR64" i="2"/>
  <c r="CQ29" i="2"/>
  <c r="AV29" i="2"/>
  <c r="AU29" i="2"/>
  <c r="AS29" i="2"/>
  <c r="AR29" i="2"/>
  <c r="CQ31" i="2"/>
  <c r="AV31" i="2"/>
  <c r="AU31" i="2"/>
  <c r="AS31" i="2"/>
  <c r="AR31" i="2"/>
  <c r="CQ24" i="2"/>
  <c r="AV24" i="2"/>
  <c r="AU24" i="2"/>
  <c r="AS24" i="2"/>
  <c r="AR24" i="2"/>
  <c r="X24" i="2"/>
  <c r="CQ23" i="2"/>
  <c r="AV23" i="2"/>
  <c r="AU23" i="2"/>
  <c r="AS23" i="2"/>
  <c r="AR23" i="2"/>
  <c r="X23" i="2"/>
  <c r="CQ22" i="2"/>
  <c r="AV22" i="2"/>
  <c r="AU22" i="2"/>
  <c r="AS22" i="2"/>
  <c r="AR22" i="2"/>
  <c r="X22" i="2"/>
  <c r="CQ21" i="2"/>
  <c r="AV21" i="2"/>
  <c r="AU21" i="2"/>
  <c r="AS21" i="2"/>
  <c r="AR21" i="2"/>
  <c r="X21" i="2"/>
  <c r="CQ39" i="2"/>
  <c r="AV39" i="2"/>
  <c r="O10" i="17" s="1"/>
  <c r="AU39" i="2"/>
  <c r="N10" i="17" s="1"/>
  <c r="AS39" i="2"/>
  <c r="L10" i="17" s="1"/>
  <c r="AR39" i="2"/>
  <c r="K10" i="17" s="1"/>
  <c r="CQ38" i="2"/>
  <c r="AV38" i="2"/>
  <c r="AU38" i="2"/>
  <c r="AS38" i="2"/>
  <c r="AR38" i="2"/>
  <c r="CQ35" i="2"/>
  <c r="AV35" i="2"/>
  <c r="AU35" i="2"/>
  <c r="AS35" i="2"/>
  <c r="AR35" i="2"/>
  <c r="CQ37" i="2"/>
  <c r="AV37" i="2"/>
  <c r="AU37" i="2"/>
  <c r="AS37" i="2"/>
  <c r="AR37" i="2"/>
  <c r="CQ36" i="2"/>
  <c r="AV36" i="2"/>
  <c r="AU36" i="2"/>
  <c r="AS36" i="2"/>
  <c r="AR36" i="2"/>
  <c r="CQ67" i="2"/>
  <c r="AV67" i="2"/>
  <c r="AU67" i="2"/>
  <c r="AS67" i="2"/>
  <c r="AR67" i="2"/>
  <c r="CQ66" i="2"/>
  <c r="AV66" i="2"/>
  <c r="AU66" i="2"/>
  <c r="AS66" i="2"/>
  <c r="AR66" i="2"/>
  <c r="CQ19" i="2"/>
  <c r="AV19" i="2"/>
  <c r="AU19" i="2"/>
  <c r="AS19" i="2"/>
  <c r="AR19" i="2"/>
  <c r="X19" i="2"/>
  <c r="CQ20" i="2"/>
  <c r="AV20" i="2"/>
  <c r="AU20" i="2"/>
  <c r="AS20" i="2"/>
  <c r="AR20" i="2"/>
  <c r="X20" i="2"/>
  <c r="CQ18" i="2"/>
  <c r="AV18" i="2"/>
  <c r="AU18" i="2"/>
  <c r="AS18" i="2"/>
  <c r="AR18" i="2"/>
  <c r="X18" i="2"/>
  <c r="CQ47" i="2"/>
  <c r="AV47" i="2"/>
  <c r="AU47" i="2"/>
  <c r="AS47" i="2"/>
  <c r="AR47" i="2"/>
  <c r="AV50" i="2"/>
  <c r="AU50" i="2"/>
  <c r="AS50" i="2"/>
  <c r="AR50" i="2"/>
  <c r="CQ88" i="2"/>
  <c r="AV88" i="2"/>
  <c r="AU88" i="2"/>
  <c r="AS88" i="2"/>
  <c r="AR88" i="2"/>
  <c r="CQ87" i="2"/>
  <c r="AV87" i="2"/>
  <c r="AU87" i="2"/>
  <c r="AS87" i="2"/>
  <c r="AR87" i="2"/>
  <c r="CQ48" i="2"/>
  <c r="AV48" i="2"/>
  <c r="AU48" i="2"/>
  <c r="AS48" i="2"/>
  <c r="AR48" i="2"/>
  <c r="CQ8" i="2"/>
  <c r="AV8" i="2"/>
  <c r="AU8" i="2"/>
  <c r="AS8" i="2"/>
  <c r="AR8" i="2"/>
  <c r="X8" i="2"/>
  <c r="CQ7" i="2"/>
  <c r="AV7" i="2"/>
  <c r="AU7" i="2"/>
  <c r="AS7" i="2"/>
  <c r="AR7" i="2"/>
  <c r="X7" i="2"/>
  <c r="CQ6" i="2"/>
  <c r="AV6" i="2"/>
  <c r="AU6" i="2"/>
  <c r="AS6" i="2"/>
  <c r="AR6" i="2"/>
  <c r="X6" i="2"/>
  <c r="CQ5" i="2"/>
  <c r="AV5" i="2"/>
  <c r="AU5" i="2"/>
  <c r="AS5" i="2"/>
  <c r="AR5" i="2"/>
  <c r="X5" i="2"/>
  <c r="CQ9" i="2"/>
  <c r="AV9" i="2"/>
  <c r="AU9" i="2"/>
  <c r="AS9" i="2"/>
  <c r="AR9" i="2"/>
  <c r="X9" i="2"/>
  <c r="CQ45" i="2"/>
  <c r="AV45" i="2"/>
  <c r="AU45" i="2"/>
  <c r="AS45" i="2"/>
  <c r="AR45" i="2"/>
  <c r="CQ44" i="2"/>
  <c r="AV44" i="2"/>
  <c r="AU44" i="2"/>
  <c r="AS44" i="2"/>
  <c r="AR44" i="2"/>
  <c r="CQ43" i="2"/>
  <c r="AV43" i="2"/>
  <c r="AU43" i="2"/>
  <c r="AS43" i="2"/>
  <c r="AR43" i="2"/>
  <c r="CQ12" i="2"/>
  <c r="AV12" i="2"/>
  <c r="AU12" i="2"/>
  <c r="AS12" i="2"/>
  <c r="AR12" i="2"/>
  <c r="X12" i="2"/>
  <c r="CQ11" i="2"/>
  <c r="AV11" i="2"/>
  <c r="AU11" i="2"/>
  <c r="AS11" i="2"/>
  <c r="AR11" i="2"/>
  <c r="X11" i="2"/>
  <c r="CQ32" i="2"/>
  <c r="AV32" i="2"/>
  <c r="AU32" i="2"/>
  <c r="AS32" i="2"/>
  <c r="AR32" i="2"/>
  <c r="CQ33" i="2"/>
  <c r="AV33" i="2"/>
  <c r="O6" i="17" s="1"/>
  <c r="AU33" i="2"/>
  <c r="AS33" i="2"/>
  <c r="AR33" i="2"/>
  <c r="CQ10" i="2"/>
  <c r="AV10" i="2"/>
  <c r="O17" i="17" s="1"/>
  <c r="AU10" i="2"/>
  <c r="N17" i="17" s="1"/>
  <c r="AS10" i="2"/>
  <c r="L17" i="17" s="1"/>
  <c r="AR10" i="2"/>
  <c r="K17" i="17" s="1"/>
  <c r="X10" i="2"/>
  <c r="CQ34" i="2"/>
  <c r="AV34" i="2"/>
  <c r="O5" i="17" s="1"/>
  <c r="AU34" i="2"/>
  <c r="N5" i="17" s="1"/>
  <c r="AS34" i="2"/>
  <c r="L5" i="17" s="1"/>
  <c r="AR34" i="2"/>
  <c r="K5" i="17" s="1"/>
  <c r="CQ17" i="2"/>
  <c r="AV17" i="2"/>
  <c r="AU17" i="2"/>
  <c r="AS17" i="2"/>
  <c r="AR17" i="2"/>
  <c r="X17" i="2"/>
  <c r="CQ16" i="2"/>
  <c r="AV16" i="2"/>
  <c r="AU16" i="2"/>
  <c r="AS16" i="2"/>
  <c r="AR16" i="2"/>
  <c r="X16" i="2"/>
  <c r="CQ15" i="2"/>
  <c r="AU15" i="2"/>
  <c r="AS15" i="2"/>
  <c r="AR15" i="2"/>
  <c r="X15" i="2"/>
  <c r="CQ41" i="2"/>
  <c r="AV41" i="2"/>
  <c r="AU41" i="2"/>
  <c r="AS41" i="2"/>
  <c r="AR41" i="2"/>
  <c r="CQ13" i="2"/>
  <c r="AV13" i="2"/>
  <c r="AU13" i="2"/>
  <c r="AS13" i="2"/>
  <c r="AR13" i="2"/>
  <c r="X13" i="2"/>
  <c r="CQ14" i="2"/>
  <c r="AV14" i="2"/>
  <c r="AU14" i="2"/>
  <c r="AS14" i="2"/>
  <c r="AR14" i="2"/>
  <c r="X14" i="2"/>
  <c r="CQ53" i="2"/>
  <c r="AV53" i="2"/>
  <c r="AU53" i="2"/>
  <c r="AS53" i="2"/>
  <c r="AR53" i="2"/>
  <c r="CQ52" i="2"/>
  <c r="AV52" i="2"/>
  <c r="AU52" i="2"/>
  <c r="AS52" i="2"/>
  <c r="AR52" i="2"/>
  <c r="CQ55" i="2"/>
  <c r="AV55" i="2"/>
  <c r="AU55" i="2"/>
  <c r="AS55" i="2"/>
  <c r="AR55" i="2"/>
  <c r="CQ89" i="2"/>
  <c r="AV89" i="2"/>
  <c r="AU89" i="2"/>
  <c r="AS89" i="2"/>
  <c r="AR89" i="2"/>
  <c r="CQ54" i="2"/>
  <c r="AV54" i="2"/>
  <c r="AU54" i="2"/>
  <c r="AS54" i="2"/>
  <c r="AR54" i="2"/>
  <c r="CQ86" i="2"/>
  <c r="AV86" i="2"/>
  <c r="AU86" i="2"/>
  <c r="AS86" i="2"/>
  <c r="AR86" i="2"/>
  <c r="CQ63" i="2"/>
  <c r="AV63" i="2"/>
  <c r="AU63" i="2"/>
  <c r="AS63" i="2"/>
  <c r="AR63" i="2"/>
  <c r="CQ56" i="2"/>
  <c r="AV56" i="2"/>
  <c r="AU56" i="2"/>
  <c r="AS56" i="2"/>
  <c r="AR56" i="2"/>
  <c r="CQ59" i="2"/>
  <c r="AV59" i="2"/>
  <c r="AU59" i="2"/>
  <c r="AS59" i="2"/>
  <c r="AR59" i="2"/>
  <c r="CQ58" i="2"/>
  <c r="AV58" i="2"/>
  <c r="AU58" i="2"/>
  <c r="AS58" i="2"/>
  <c r="AR58" i="2"/>
  <c r="CQ61" i="2"/>
  <c r="AV61" i="2"/>
  <c r="AU61" i="2"/>
  <c r="AS61" i="2"/>
  <c r="AR61" i="2"/>
  <c r="CQ60" i="2"/>
  <c r="AV60" i="2"/>
  <c r="AU60" i="2"/>
  <c r="AS60" i="2"/>
  <c r="AR60" i="2"/>
  <c r="CQ57" i="2"/>
  <c r="AV57" i="2"/>
  <c r="AU57" i="2"/>
  <c r="AS57" i="2"/>
  <c r="AR57" i="2"/>
  <c r="CQ85" i="2"/>
  <c r="AV85" i="2"/>
  <c r="F2" i="17" s="1"/>
  <c r="AU85" i="2"/>
  <c r="N2" i="17" s="1"/>
  <c r="AR85" i="2"/>
  <c r="K2" i="17" s="1"/>
  <c r="AG85" i="2"/>
  <c r="AS85" i="2" s="1"/>
  <c r="H69" i="18"/>
  <c r="AO3" i="17"/>
  <c r="AO136" i="17"/>
  <c r="AO137" i="17"/>
  <c r="AO138" i="17"/>
  <c r="AO139" i="17"/>
  <c r="AO140" i="17"/>
  <c r="AO141" i="17"/>
  <c r="AO142" i="17"/>
  <c r="AO143" i="17"/>
  <c r="AO144" i="17"/>
  <c r="AO145" i="17"/>
  <c r="AO146" i="17"/>
  <c r="AO147" i="17"/>
  <c r="AO148" i="17"/>
  <c r="AO149" i="17"/>
  <c r="AO4" i="17"/>
  <c r="AO5" i="17"/>
  <c r="AO6" i="17"/>
  <c r="AO7" i="17"/>
  <c r="AO8" i="17"/>
  <c r="AO9" i="17"/>
  <c r="AO10" i="17"/>
  <c r="AO11" i="17"/>
  <c r="AO12" i="17"/>
  <c r="AO13" i="17"/>
  <c r="AO14" i="17"/>
  <c r="AO15" i="17"/>
  <c r="AO16" i="17"/>
  <c r="AO17" i="17"/>
  <c r="AO18" i="17"/>
  <c r="AO19" i="17"/>
  <c r="AO20" i="17"/>
  <c r="AO21" i="17"/>
  <c r="AO22" i="17"/>
  <c r="AO23" i="17"/>
  <c r="AO24" i="17"/>
  <c r="AO25" i="17"/>
  <c r="AO26" i="17"/>
  <c r="AO27" i="17"/>
  <c r="AO28" i="17"/>
  <c r="AO29" i="17"/>
  <c r="AO30" i="17"/>
  <c r="AO31" i="17"/>
  <c r="AO32" i="17"/>
  <c r="AO33" i="17"/>
  <c r="AO34" i="17"/>
  <c r="AO35" i="17"/>
  <c r="AO36" i="17"/>
  <c r="AO37" i="17"/>
  <c r="AO38" i="17"/>
  <c r="AO39" i="17"/>
  <c r="AO40" i="17"/>
  <c r="AO41" i="17"/>
  <c r="AO42" i="17"/>
  <c r="AO43" i="17"/>
  <c r="AO44" i="17"/>
  <c r="AO45" i="17"/>
  <c r="AO46" i="17"/>
  <c r="AO47" i="17"/>
  <c r="AO48" i="17"/>
  <c r="AO49" i="17"/>
  <c r="AO50" i="17"/>
  <c r="AO51" i="17"/>
  <c r="AO52" i="17"/>
  <c r="AO53" i="17"/>
  <c r="AO54" i="17"/>
  <c r="AO55" i="17"/>
  <c r="AO56" i="17"/>
  <c r="AO57" i="17"/>
  <c r="AO58" i="17"/>
  <c r="AO59" i="17"/>
  <c r="AO60" i="17"/>
  <c r="AO61" i="17"/>
  <c r="AO62" i="17"/>
  <c r="AO63" i="17"/>
  <c r="AO64" i="17"/>
  <c r="AO65" i="17"/>
  <c r="AO66" i="17"/>
  <c r="AO67" i="17"/>
  <c r="AO68" i="17"/>
  <c r="AO69" i="17"/>
  <c r="AO70" i="17"/>
  <c r="AO71" i="17"/>
  <c r="AO72" i="17"/>
  <c r="AO73" i="17"/>
  <c r="AO74" i="17"/>
  <c r="AO75" i="17"/>
  <c r="AO76" i="17"/>
  <c r="AO77" i="17"/>
  <c r="AO78" i="17"/>
  <c r="AO79" i="17"/>
  <c r="AO80" i="17"/>
  <c r="AO81" i="17"/>
  <c r="AO82" i="17"/>
  <c r="AO83" i="17"/>
  <c r="AO84" i="17"/>
  <c r="AO85" i="17"/>
  <c r="AO86" i="17"/>
  <c r="AO87" i="17"/>
  <c r="AO88" i="17"/>
  <c r="AO89" i="17"/>
  <c r="AO90" i="17"/>
  <c r="AO91" i="17"/>
  <c r="AO92" i="17"/>
  <c r="AO93" i="17"/>
  <c r="AO94" i="17"/>
  <c r="AO95" i="17"/>
  <c r="AO96" i="17"/>
  <c r="AO97" i="17"/>
  <c r="AO98" i="17"/>
  <c r="AO99" i="17"/>
  <c r="AO100" i="17"/>
  <c r="AO101" i="17"/>
  <c r="AO102" i="17"/>
  <c r="AO103" i="17"/>
  <c r="AO104" i="17"/>
  <c r="AO105" i="17"/>
  <c r="AO106" i="17"/>
  <c r="AO107" i="17"/>
  <c r="AO108" i="17"/>
  <c r="AO109" i="17"/>
  <c r="AO110" i="17"/>
  <c r="AO111" i="17"/>
  <c r="AO112" i="17"/>
  <c r="AO113" i="17"/>
  <c r="AO114" i="17"/>
  <c r="AO115" i="17"/>
  <c r="AO116" i="17"/>
  <c r="AO117" i="17"/>
  <c r="AO118" i="17"/>
  <c r="AO119" i="17"/>
  <c r="AO120" i="17"/>
  <c r="AO121" i="17"/>
  <c r="AO122" i="17"/>
  <c r="AO123" i="17"/>
  <c r="AO124" i="17"/>
  <c r="AO125" i="17"/>
  <c r="AO126" i="17"/>
  <c r="AO127" i="17"/>
  <c r="AO128" i="17"/>
  <c r="AO129" i="17"/>
  <c r="AO130" i="17"/>
  <c r="AO131" i="17"/>
  <c r="AO132" i="17"/>
  <c r="AO133" i="17"/>
  <c r="AO134" i="17"/>
  <c r="AO135" i="17"/>
  <c r="DE57" i="2"/>
  <c r="DF57" i="2"/>
  <c r="DG57" i="2"/>
  <c r="DH57" i="2"/>
  <c r="DI57" i="2"/>
  <c r="DJ57" i="2"/>
  <c r="DK57" i="2"/>
  <c r="DL57" i="2"/>
  <c r="DM57" i="2"/>
  <c r="DN57" i="2"/>
  <c r="DO57" i="2"/>
  <c r="DP57" i="2"/>
  <c r="DE60" i="2"/>
  <c r="DF60" i="2"/>
  <c r="DG60" i="2"/>
  <c r="DH60" i="2"/>
  <c r="DI60" i="2"/>
  <c r="DJ60" i="2"/>
  <c r="DK60" i="2"/>
  <c r="DL60" i="2"/>
  <c r="DM60" i="2"/>
  <c r="DN60" i="2"/>
  <c r="DO60" i="2"/>
  <c r="DP60" i="2"/>
  <c r="DE61" i="2"/>
  <c r="DF61" i="2"/>
  <c r="DG61" i="2"/>
  <c r="DH61" i="2"/>
  <c r="DI61" i="2"/>
  <c r="DJ61" i="2"/>
  <c r="DK61" i="2"/>
  <c r="DL61" i="2"/>
  <c r="DM61" i="2"/>
  <c r="DN61" i="2"/>
  <c r="DO61" i="2"/>
  <c r="DP61" i="2"/>
  <c r="DE58" i="2"/>
  <c r="DF58" i="2"/>
  <c r="DG58" i="2"/>
  <c r="DH58" i="2"/>
  <c r="DI58" i="2"/>
  <c r="DJ58" i="2"/>
  <c r="DK58" i="2"/>
  <c r="DL58" i="2"/>
  <c r="DM58" i="2"/>
  <c r="DN58" i="2"/>
  <c r="DO58" i="2"/>
  <c r="DP58" i="2"/>
  <c r="DE59" i="2"/>
  <c r="DF59" i="2"/>
  <c r="DG59" i="2"/>
  <c r="DH59" i="2"/>
  <c r="DI59" i="2"/>
  <c r="DJ59" i="2"/>
  <c r="DK59" i="2"/>
  <c r="DL59" i="2"/>
  <c r="DM59" i="2"/>
  <c r="DN59" i="2"/>
  <c r="DO59" i="2"/>
  <c r="DP59" i="2"/>
  <c r="DE56" i="2"/>
  <c r="DF56" i="2"/>
  <c r="DG56" i="2"/>
  <c r="DH56" i="2"/>
  <c r="DI56" i="2"/>
  <c r="DJ56" i="2"/>
  <c r="DK56" i="2"/>
  <c r="DL56" i="2"/>
  <c r="DM56" i="2"/>
  <c r="DN56" i="2"/>
  <c r="DO56" i="2"/>
  <c r="DP56" i="2"/>
  <c r="DE63" i="2"/>
  <c r="DF63" i="2"/>
  <c r="DG63" i="2"/>
  <c r="DH63" i="2"/>
  <c r="DI63" i="2"/>
  <c r="DJ63" i="2"/>
  <c r="DK63" i="2"/>
  <c r="DL63" i="2"/>
  <c r="DM63" i="2"/>
  <c r="DN63" i="2"/>
  <c r="DO63" i="2"/>
  <c r="DP63" i="2"/>
  <c r="DE86" i="2"/>
  <c r="DF86" i="2"/>
  <c r="DG86" i="2"/>
  <c r="DH86" i="2"/>
  <c r="DI86" i="2"/>
  <c r="DJ86" i="2"/>
  <c r="DK86" i="2"/>
  <c r="DL86" i="2"/>
  <c r="DM86" i="2"/>
  <c r="DN86" i="2"/>
  <c r="DO86" i="2"/>
  <c r="DP86" i="2"/>
  <c r="DE54" i="2"/>
  <c r="DF54" i="2"/>
  <c r="DG54" i="2"/>
  <c r="DH54" i="2"/>
  <c r="DI54" i="2"/>
  <c r="DJ54" i="2"/>
  <c r="DK54" i="2"/>
  <c r="DL54" i="2"/>
  <c r="DM54" i="2"/>
  <c r="DN54" i="2"/>
  <c r="DO54" i="2"/>
  <c r="DP54" i="2"/>
  <c r="AD99" i="9" s="1"/>
  <c r="DE89" i="2"/>
  <c r="DF89" i="2"/>
  <c r="DG89" i="2"/>
  <c r="DH89" i="2"/>
  <c r="DI89" i="2"/>
  <c r="DJ89" i="2"/>
  <c r="DK89" i="2"/>
  <c r="DL89" i="2"/>
  <c r="DM89" i="2"/>
  <c r="DN89" i="2"/>
  <c r="DO89" i="2"/>
  <c r="DP89" i="2"/>
  <c r="AD72" i="18" s="1"/>
  <c r="DE55" i="2"/>
  <c r="DF55" i="2"/>
  <c r="DG55" i="2"/>
  <c r="DH55" i="2"/>
  <c r="DI55" i="2"/>
  <c r="DJ55" i="2"/>
  <c r="DK55" i="2"/>
  <c r="DL55" i="2"/>
  <c r="DM55" i="2"/>
  <c r="DN55" i="2"/>
  <c r="DO55" i="2"/>
  <c r="DP55" i="2"/>
  <c r="DE52" i="2"/>
  <c r="DF52" i="2"/>
  <c r="DG52" i="2"/>
  <c r="DH52" i="2"/>
  <c r="DI52" i="2"/>
  <c r="DJ52" i="2"/>
  <c r="DK52" i="2"/>
  <c r="DL52" i="2"/>
  <c r="DM52" i="2"/>
  <c r="DN52" i="2"/>
  <c r="DO52" i="2"/>
  <c r="DP52" i="2"/>
  <c r="DE53" i="2"/>
  <c r="DF53" i="2"/>
  <c r="DG53" i="2"/>
  <c r="DH53" i="2"/>
  <c r="DI53" i="2"/>
  <c r="DJ53" i="2"/>
  <c r="DK53" i="2"/>
  <c r="DL53" i="2"/>
  <c r="DM53" i="2"/>
  <c r="DN53" i="2"/>
  <c r="DO53" i="2"/>
  <c r="DP53" i="2"/>
  <c r="DE14" i="2"/>
  <c r="DF14" i="2"/>
  <c r="DG14" i="2"/>
  <c r="DH14" i="2"/>
  <c r="DI14" i="2"/>
  <c r="DJ14" i="2"/>
  <c r="DK14" i="2"/>
  <c r="DL14" i="2"/>
  <c r="DM14" i="2"/>
  <c r="DN14" i="2"/>
  <c r="DO14" i="2"/>
  <c r="DP14" i="2"/>
  <c r="DE13" i="2"/>
  <c r="DF13" i="2"/>
  <c r="DG13" i="2"/>
  <c r="DH13" i="2"/>
  <c r="DI13" i="2"/>
  <c r="DJ13" i="2"/>
  <c r="DK13" i="2"/>
  <c r="DL13" i="2"/>
  <c r="DM13" i="2"/>
  <c r="DN13" i="2"/>
  <c r="DO13" i="2"/>
  <c r="DP13" i="2"/>
  <c r="DE41" i="2"/>
  <c r="DF41" i="2"/>
  <c r="DG41" i="2"/>
  <c r="DH41" i="2"/>
  <c r="DI41" i="2"/>
  <c r="DJ41" i="2"/>
  <c r="DK41" i="2"/>
  <c r="DL41" i="2"/>
  <c r="DM41" i="2"/>
  <c r="DN41" i="2"/>
  <c r="DO41" i="2"/>
  <c r="DP41" i="2"/>
  <c r="DE15" i="2"/>
  <c r="DF15" i="2"/>
  <c r="DG15" i="2"/>
  <c r="DH15" i="2"/>
  <c r="DI15" i="2"/>
  <c r="DJ15" i="2"/>
  <c r="DK15" i="2"/>
  <c r="DL15" i="2"/>
  <c r="DM15" i="2"/>
  <c r="DN15" i="2"/>
  <c r="DO15" i="2"/>
  <c r="DP15" i="2"/>
  <c r="DE16" i="2"/>
  <c r="DF16" i="2"/>
  <c r="DG16" i="2"/>
  <c r="DH16" i="2"/>
  <c r="DI16" i="2"/>
  <c r="DJ16" i="2"/>
  <c r="DK16" i="2"/>
  <c r="DL16" i="2"/>
  <c r="DM16" i="2"/>
  <c r="DN16" i="2"/>
  <c r="DO16" i="2"/>
  <c r="DP16" i="2"/>
  <c r="DE17" i="2"/>
  <c r="DF17" i="2"/>
  <c r="DG17" i="2"/>
  <c r="DH17" i="2"/>
  <c r="DI17" i="2"/>
  <c r="DJ17" i="2"/>
  <c r="DK17" i="2"/>
  <c r="DL17" i="2"/>
  <c r="DM17" i="2"/>
  <c r="DN17" i="2"/>
  <c r="DO17" i="2"/>
  <c r="DP17" i="2"/>
  <c r="DE34" i="2"/>
  <c r="DF34" i="2"/>
  <c r="DG34" i="2"/>
  <c r="DH34" i="2"/>
  <c r="DI34" i="2"/>
  <c r="DJ34" i="2"/>
  <c r="DK34" i="2"/>
  <c r="DL34" i="2"/>
  <c r="DM34" i="2"/>
  <c r="DN34" i="2"/>
  <c r="DO34" i="2"/>
  <c r="DP34" i="2"/>
  <c r="DE10" i="2"/>
  <c r="DF10" i="2"/>
  <c r="DG10" i="2"/>
  <c r="DH10" i="2"/>
  <c r="DI10" i="2"/>
  <c r="DJ10" i="2"/>
  <c r="DK10" i="2"/>
  <c r="DL10" i="2"/>
  <c r="DM10" i="2"/>
  <c r="DN10" i="2"/>
  <c r="DO10" i="2"/>
  <c r="DP10" i="2"/>
  <c r="DE33" i="2"/>
  <c r="DF33" i="2"/>
  <c r="DG33" i="2"/>
  <c r="DH33" i="2"/>
  <c r="DI33" i="2"/>
  <c r="DJ33" i="2"/>
  <c r="DK33" i="2"/>
  <c r="DL33" i="2"/>
  <c r="DM33" i="2"/>
  <c r="DN33" i="2"/>
  <c r="DO33" i="2"/>
  <c r="DP33" i="2"/>
  <c r="DE32" i="2"/>
  <c r="DF32" i="2"/>
  <c r="DG32" i="2"/>
  <c r="DH32" i="2"/>
  <c r="DI32" i="2"/>
  <c r="DJ32" i="2"/>
  <c r="DK32" i="2"/>
  <c r="DL32" i="2"/>
  <c r="DM32" i="2"/>
  <c r="DN32" i="2"/>
  <c r="DO32" i="2"/>
  <c r="DP32" i="2"/>
  <c r="DE11" i="2"/>
  <c r="DF11" i="2"/>
  <c r="DG11" i="2"/>
  <c r="DH11" i="2"/>
  <c r="DI11" i="2"/>
  <c r="DJ11" i="2"/>
  <c r="DK11" i="2"/>
  <c r="DL11" i="2"/>
  <c r="DM11" i="2"/>
  <c r="DN11" i="2"/>
  <c r="DO11" i="2"/>
  <c r="DP11" i="2"/>
  <c r="DE12" i="2"/>
  <c r="DF12" i="2"/>
  <c r="DG12" i="2"/>
  <c r="DH12" i="2"/>
  <c r="DI12" i="2"/>
  <c r="DJ12" i="2"/>
  <c r="DK12" i="2"/>
  <c r="DL12" i="2"/>
  <c r="DM12" i="2"/>
  <c r="DN12" i="2"/>
  <c r="DO12" i="2"/>
  <c r="DP12" i="2"/>
  <c r="DE43" i="2"/>
  <c r="DF43" i="2"/>
  <c r="DG43" i="2"/>
  <c r="DH43" i="2"/>
  <c r="DI43" i="2"/>
  <c r="DJ43" i="2"/>
  <c r="DK43" i="2"/>
  <c r="DL43" i="2"/>
  <c r="DM43" i="2"/>
  <c r="DN43" i="2"/>
  <c r="DO43" i="2"/>
  <c r="DP43" i="2"/>
  <c r="DE44" i="2"/>
  <c r="DF44" i="2"/>
  <c r="DG44" i="2"/>
  <c r="DH44" i="2"/>
  <c r="DI44" i="2"/>
  <c r="DJ44" i="2"/>
  <c r="DK44" i="2"/>
  <c r="DL44" i="2"/>
  <c r="DM44" i="2"/>
  <c r="DN44" i="2"/>
  <c r="DO44" i="2"/>
  <c r="DP44" i="2"/>
  <c r="DE45" i="2"/>
  <c r="DF45" i="2"/>
  <c r="DG45" i="2"/>
  <c r="DH45" i="2"/>
  <c r="DI45" i="2"/>
  <c r="DJ45" i="2"/>
  <c r="DK45" i="2"/>
  <c r="DL45" i="2"/>
  <c r="DM45" i="2"/>
  <c r="DN45" i="2"/>
  <c r="DO45" i="2"/>
  <c r="DP45" i="2"/>
  <c r="DE9" i="2"/>
  <c r="DF9" i="2"/>
  <c r="DG9" i="2"/>
  <c r="DH9" i="2"/>
  <c r="DI9" i="2"/>
  <c r="DJ9" i="2"/>
  <c r="DK9" i="2"/>
  <c r="DL9" i="2"/>
  <c r="DM9" i="2"/>
  <c r="DN9" i="2"/>
  <c r="DO9" i="2"/>
  <c r="DP9" i="2"/>
  <c r="DE5" i="2"/>
  <c r="DF5" i="2"/>
  <c r="DG5" i="2"/>
  <c r="DH5" i="2"/>
  <c r="DI5" i="2"/>
  <c r="DJ5" i="2"/>
  <c r="DK5" i="2"/>
  <c r="DL5" i="2"/>
  <c r="DM5" i="2"/>
  <c r="DN5" i="2"/>
  <c r="DO5" i="2"/>
  <c r="DP5" i="2"/>
  <c r="DE6" i="2"/>
  <c r="DF6" i="2"/>
  <c r="DG6" i="2"/>
  <c r="DH6" i="2"/>
  <c r="DI6" i="2"/>
  <c r="DJ6" i="2"/>
  <c r="DK6" i="2"/>
  <c r="DL6" i="2"/>
  <c r="DM6" i="2"/>
  <c r="DN6" i="2"/>
  <c r="DO6" i="2"/>
  <c r="DP6" i="2"/>
  <c r="DE7" i="2"/>
  <c r="DF7" i="2"/>
  <c r="DG7" i="2"/>
  <c r="DH7" i="2"/>
  <c r="DI7" i="2"/>
  <c r="DJ7" i="2"/>
  <c r="DK7" i="2"/>
  <c r="DL7" i="2"/>
  <c r="DM7" i="2"/>
  <c r="DN7" i="2"/>
  <c r="DO7" i="2"/>
  <c r="DP7" i="2"/>
  <c r="DE8" i="2"/>
  <c r="DF8" i="2"/>
  <c r="DG8" i="2"/>
  <c r="DH8" i="2"/>
  <c r="DI8" i="2"/>
  <c r="DJ8" i="2"/>
  <c r="DK8" i="2"/>
  <c r="DL8" i="2"/>
  <c r="DM8" i="2"/>
  <c r="DN8" i="2"/>
  <c r="DO8" i="2"/>
  <c r="DP8" i="2"/>
  <c r="DE48" i="2"/>
  <c r="DF48" i="2"/>
  <c r="DG48" i="2"/>
  <c r="DH48" i="2"/>
  <c r="DI48" i="2"/>
  <c r="DJ48" i="2"/>
  <c r="DK48" i="2"/>
  <c r="DL48" i="2"/>
  <c r="DM48" i="2"/>
  <c r="DN48" i="2"/>
  <c r="DO48" i="2"/>
  <c r="DP48" i="2"/>
  <c r="DE87" i="2"/>
  <c r="DF87" i="2"/>
  <c r="DG87" i="2"/>
  <c r="DH87" i="2"/>
  <c r="DI87" i="2"/>
  <c r="DJ87" i="2"/>
  <c r="DK87" i="2"/>
  <c r="DL87" i="2"/>
  <c r="DM87" i="2"/>
  <c r="DN87" i="2"/>
  <c r="DO87" i="2"/>
  <c r="DP87" i="2"/>
  <c r="DE88" i="2"/>
  <c r="DF88" i="2"/>
  <c r="DG88" i="2"/>
  <c r="DH88" i="2"/>
  <c r="DI88" i="2"/>
  <c r="DJ88" i="2"/>
  <c r="DK88" i="2"/>
  <c r="DL88" i="2"/>
  <c r="DM88" i="2"/>
  <c r="DN88" i="2"/>
  <c r="DO88" i="2"/>
  <c r="DP88" i="2"/>
  <c r="DE50" i="2"/>
  <c r="DF50" i="2"/>
  <c r="DG50" i="2"/>
  <c r="DH50" i="2"/>
  <c r="DI50" i="2"/>
  <c r="DJ50" i="2"/>
  <c r="DK50" i="2"/>
  <c r="DL50" i="2"/>
  <c r="DM50" i="2"/>
  <c r="DN50" i="2"/>
  <c r="DO50" i="2"/>
  <c r="DP50" i="2"/>
  <c r="DE47" i="2"/>
  <c r="DF47" i="2"/>
  <c r="DG47" i="2"/>
  <c r="DH47" i="2"/>
  <c r="DI47" i="2"/>
  <c r="DJ47" i="2"/>
  <c r="DK47" i="2"/>
  <c r="DL47" i="2"/>
  <c r="DM47" i="2"/>
  <c r="DN47" i="2"/>
  <c r="DO47" i="2"/>
  <c r="DP47" i="2"/>
  <c r="DE18" i="2"/>
  <c r="DF18" i="2"/>
  <c r="DG18" i="2"/>
  <c r="DH18" i="2"/>
  <c r="DI18" i="2"/>
  <c r="DJ18" i="2"/>
  <c r="DK18" i="2"/>
  <c r="DL18" i="2"/>
  <c r="DM18" i="2"/>
  <c r="DN18" i="2"/>
  <c r="DO18" i="2"/>
  <c r="DP18" i="2"/>
  <c r="DE20" i="2"/>
  <c r="DF20" i="2"/>
  <c r="DG20" i="2"/>
  <c r="DH20" i="2"/>
  <c r="DI20" i="2"/>
  <c r="DJ20" i="2"/>
  <c r="DK20" i="2"/>
  <c r="DL20" i="2"/>
  <c r="DM20" i="2"/>
  <c r="DN20" i="2"/>
  <c r="DO20" i="2"/>
  <c r="DP20" i="2"/>
  <c r="DE19" i="2"/>
  <c r="DF19" i="2"/>
  <c r="DG19" i="2"/>
  <c r="DH19" i="2"/>
  <c r="DI19" i="2"/>
  <c r="DJ19" i="2"/>
  <c r="DK19" i="2"/>
  <c r="DL19" i="2"/>
  <c r="DM19" i="2"/>
  <c r="DN19" i="2"/>
  <c r="DO19" i="2"/>
  <c r="DP19" i="2"/>
  <c r="DE66" i="2"/>
  <c r="DF66" i="2"/>
  <c r="DG66" i="2"/>
  <c r="DH66" i="2"/>
  <c r="DI66" i="2"/>
  <c r="DJ66" i="2"/>
  <c r="DK66" i="2"/>
  <c r="DL66" i="2"/>
  <c r="DM66" i="2"/>
  <c r="DN66" i="2"/>
  <c r="DO66" i="2"/>
  <c r="DP66" i="2"/>
  <c r="DE67" i="2"/>
  <c r="DF67" i="2"/>
  <c r="DG67" i="2"/>
  <c r="DH67" i="2"/>
  <c r="DI67" i="2"/>
  <c r="DE36" i="2"/>
  <c r="DF36" i="2"/>
  <c r="DG36" i="2"/>
  <c r="DH36" i="2"/>
  <c r="DI36" i="2"/>
  <c r="DJ36" i="2"/>
  <c r="DK36" i="2"/>
  <c r="DL36" i="2"/>
  <c r="DM36" i="2"/>
  <c r="DN36" i="2"/>
  <c r="DO36" i="2"/>
  <c r="DP36" i="2"/>
  <c r="DE37" i="2"/>
  <c r="DF37" i="2"/>
  <c r="DG37" i="2"/>
  <c r="DH37" i="2"/>
  <c r="DI37" i="2"/>
  <c r="DJ37" i="2"/>
  <c r="DK37" i="2"/>
  <c r="DL37" i="2"/>
  <c r="DM37" i="2"/>
  <c r="DN37" i="2"/>
  <c r="DO37" i="2"/>
  <c r="DP37" i="2"/>
  <c r="DE35" i="2"/>
  <c r="DF35" i="2"/>
  <c r="DG35" i="2"/>
  <c r="DH35" i="2"/>
  <c r="DI35" i="2"/>
  <c r="DJ35" i="2"/>
  <c r="DK35" i="2"/>
  <c r="DL35" i="2"/>
  <c r="DM35" i="2"/>
  <c r="DN35" i="2"/>
  <c r="DO35" i="2"/>
  <c r="DP35" i="2"/>
  <c r="DE38" i="2"/>
  <c r="DF38" i="2"/>
  <c r="DG38" i="2"/>
  <c r="DH38" i="2"/>
  <c r="DI38" i="2"/>
  <c r="DJ38" i="2"/>
  <c r="DK38" i="2"/>
  <c r="DL38" i="2"/>
  <c r="DM38" i="2"/>
  <c r="DN38" i="2"/>
  <c r="DO38" i="2"/>
  <c r="DP38" i="2"/>
  <c r="DE39" i="2"/>
  <c r="DF39" i="2"/>
  <c r="DG39" i="2"/>
  <c r="DH39" i="2"/>
  <c r="DI39" i="2"/>
  <c r="DJ39" i="2"/>
  <c r="DK39" i="2"/>
  <c r="DL39" i="2"/>
  <c r="DM39" i="2"/>
  <c r="DN39" i="2"/>
  <c r="DO39" i="2"/>
  <c r="DP39" i="2"/>
  <c r="AD109" i="9" s="1"/>
  <c r="DE21" i="2"/>
  <c r="DF21" i="2"/>
  <c r="DG21" i="2"/>
  <c r="DH21" i="2"/>
  <c r="DI21" i="2"/>
  <c r="DJ21" i="2"/>
  <c r="DK21" i="2"/>
  <c r="DL21" i="2"/>
  <c r="DM21" i="2"/>
  <c r="DN21" i="2"/>
  <c r="DO21" i="2"/>
  <c r="DP21" i="2"/>
  <c r="DE22" i="2"/>
  <c r="DF22" i="2"/>
  <c r="DG22" i="2"/>
  <c r="DH22" i="2"/>
  <c r="DI22" i="2"/>
  <c r="DJ22" i="2"/>
  <c r="DK22" i="2"/>
  <c r="DL22" i="2"/>
  <c r="DM22" i="2"/>
  <c r="DN22" i="2"/>
  <c r="DO22" i="2"/>
  <c r="DP22" i="2"/>
  <c r="DE23" i="2"/>
  <c r="DF23" i="2"/>
  <c r="DG23" i="2"/>
  <c r="DH23" i="2"/>
  <c r="DI23" i="2"/>
  <c r="DJ23" i="2"/>
  <c r="DK23" i="2"/>
  <c r="DL23" i="2"/>
  <c r="DM23" i="2"/>
  <c r="DN23" i="2"/>
  <c r="DO23" i="2"/>
  <c r="DP23" i="2"/>
  <c r="DE24" i="2"/>
  <c r="DF24" i="2"/>
  <c r="DG24" i="2"/>
  <c r="DH24" i="2"/>
  <c r="DI24" i="2"/>
  <c r="DJ24" i="2"/>
  <c r="DK24" i="2"/>
  <c r="DL24" i="2"/>
  <c r="DM24" i="2"/>
  <c r="DN24" i="2"/>
  <c r="DO24" i="2"/>
  <c r="DP24" i="2"/>
  <c r="DE31" i="2"/>
  <c r="DF31" i="2"/>
  <c r="DG31" i="2"/>
  <c r="DH31" i="2"/>
  <c r="DI31" i="2"/>
  <c r="DJ31" i="2"/>
  <c r="DK31" i="2"/>
  <c r="DL31" i="2"/>
  <c r="DM31" i="2"/>
  <c r="DN31" i="2"/>
  <c r="DO31" i="2"/>
  <c r="DP31" i="2"/>
  <c r="DE29" i="2"/>
  <c r="DF29" i="2"/>
  <c r="DG29" i="2"/>
  <c r="DH29" i="2"/>
  <c r="DI29" i="2"/>
  <c r="DJ29" i="2"/>
  <c r="DK29" i="2"/>
  <c r="DL29" i="2"/>
  <c r="DM29" i="2"/>
  <c r="DN29" i="2"/>
  <c r="DO29" i="2"/>
  <c r="DP29" i="2"/>
  <c r="DE64" i="2"/>
  <c r="DF64" i="2"/>
  <c r="DG64" i="2"/>
  <c r="DH64" i="2"/>
  <c r="DI64" i="2"/>
  <c r="DJ64" i="2"/>
  <c r="DK64" i="2"/>
  <c r="DL64" i="2"/>
  <c r="DM64" i="2"/>
  <c r="DN64" i="2"/>
  <c r="DO64" i="2"/>
  <c r="DP64" i="2"/>
  <c r="DE65" i="2"/>
  <c r="DF65" i="2"/>
  <c r="DG65" i="2"/>
  <c r="DH65" i="2"/>
  <c r="DI65" i="2"/>
  <c r="DJ65" i="2"/>
  <c r="DK65" i="2"/>
  <c r="DL65" i="2"/>
  <c r="DM65" i="2"/>
  <c r="DN65" i="2"/>
  <c r="DO65" i="2"/>
  <c r="DP65" i="2"/>
  <c r="DE30" i="2"/>
  <c r="DF30" i="2"/>
  <c r="DG30" i="2"/>
  <c r="DH30" i="2"/>
  <c r="DI30" i="2"/>
  <c r="DJ30" i="2"/>
  <c r="DK30" i="2"/>
  <c r="DL30" i="2"/>
  <c r="DM30" i="2"/>
  <c r="DN30" i="2"/>
  <c r="DO30" i="2"/>
  <c r="DP30" i="2"/>
  <c r="DE91" i="2"/>
  <c r="DF91" i="2"/>
  <c r="DG91" i="2"/>
  <c r="DH91" i="2"/>
  <c r="DI91" i="2"/>
  <c r="DJ91" i="2"/>
  <c r="DK91" i="2"/>
  <c r="DL91" i="2"/>
  <c r="DM91" i="2"/>
  <c r="DN91" i="2"/>
  <c r="DO91" i="2"/>
  <c r="DP91" i="2"/>
  <c r="DF4" i="2"/>
  <c r="DG4" i="2"/>
  <c r="DH4" i="2"/>
  <c r="DI4" i="2"/>
  <c r="DJ4" i="2"/>
  <c r="DK4" i="2"/>
  <c r="DL4" i="2"/>
  <c r="DM4" i="2"/>
  <c r="DN4" i="2"/>
  <c r="DO4" i="2"/>
  <c r="DP4" i="2"/>
  <c r="DE25" i="2"/>
  <c r="DF25" i="2"/>
  <c r="DG25" i="2"/>
  <c r="DH25" i="2"/>
  <c r="DI25" i="2"/>
  <c r="DJ25" i="2"/>
  <c r="DK25" i="2"/>
  <c r="DL25" i="2"/>
  <c r="DM25" i="2"/>
  <c r="DN25" i="2"/>
  <c r="DO25" i="2"/>
  <c r="DP25" i="2"/>
  <c r="DE26" i="2"/>
  <c r="DF26" i="2"/>
  <c r="DG26" i="2"/>
  <c r="DH26" i="2"/>
  <c r="DI26" i="2"/>
  <c r="DJ26" i="2"/>
  <c r="DK26" i="2"/>
  <c r="DL26" i="2"/>
  <c r="DM26" i="2"/>
  <c r="DN26" i="2"/>
  <c r="DO26" i="2"/>
  <c r="DP26" i="2"/>
  <c r="DE68" i="2"/>
  <c r="DF68" i="2"/>
  <c r="DG68" i="2"/>
  <c r="DH68" i="2"/>
  <c r="DI68" i="2"/>
  <c r="DJ68" i="2"/>
  <c r="DK68" i="2"/>
  <c r="DL68" i="2"/>
  <c r="DM68" i="2"/>
  <c r="DN68" i="2"/>
  <c r="DO68" i="2"/>
  <c r="DP68" i="2"/>
  <c r="DE69" i="2"/>
  <c r="DF69" i="2"/>
  <c r="DG69" i="2"/>
  <c r="DH69" i="2"/>
  <c r="DI69" i="2"/>
  <c r="DJ69" i="2"/>
  <c r="DK69" i="2"/>
  <c r="DL69" i="2"/>
  <c r="DM69" i="2"/>
  <c r="DN69" i="2"/>
  <c r="DO69" i="2"/>
  <c r="DP69" i="2"/>
  <c r="DE70" i="2"/>
  <c r="DF70" i="2"/>
  <c r="DG70" i="2"/>
  <c r="DH70" i="2"/>
  <c r="DI70" i="2"/>
  <c r="DJ70" i="2"/>
  <c r="DK70" i="2"/>
  <c r="DL70" i="2"/>
  <c r="DM70" i="2"/>
  <c r="DN70" i="2"/>
  <c r="DO70" i="2"/>
  <c r="DP70" i="2"/>
  <c r="DE71" i="2"/>
  <c r="DF71" i="2"/>
  <c r="DG71" i="2"/>
  <c r="DH71" i="2"/>
  <c r="DI71" i="2"/>
  <c r="DJ71" i="2"/>
  <c r="DK71" i="2"/>
  <c r="DL71" i="2"/>
  <c r="DM71" i="2"/>
  <c r="DN71" i="2"/>
  <c r="DO71" i="2"/>
  <c r="DP71" i="2"/>
  <c r="DE72" i="2"/>
  <c r="DF72" i="2"/>
  <c r="DG72" i="2"/>
  <c r="DH72" i="2"/>
  <c r="DI72" i="2"/>
  <c r="DJ72" i="2"/>
  <c r="DK72" i="2"/>
  <c r="DL72" i="2"/>
  <c r="DM72" i="2"/>
  <c r="DN72" i="2"/>
  <c r="DO72" i="2"/>
  <c r="DP72" i="2"/>
  <c r="DE73" i="2"/>
  <c r="DF73" i="2"/>
  <c r="DG73" i="2"/>
  <c r="DH73" i="2"/>
  <c r="DI73" i="2"/>
  <c r="DJ73" i="2"/>
  <c r="DK73" i="2"/>
  <c r="DL73" i="2"/>
  <c r="DM73" i="2"/>
  <c r="DN73" i="2"/>
  <c r="DO73" i="2"/>
  <c r="DP73" i="2"/>
  <c r="DE74" i="2"/>
  <c r="DF74" i="2"/>
  <c r="DG74" i="2"/>
  <c r="DH74" i="2"/>
  <c r="DI74" i="2"/>
  <c r="DJ74" i="2"/>
  <c r="DK74" i="2"/>
  <c r="DL74" i="2"/>
  <c r="DM74" i="2"/>
  <c r="DN74" i="2"/>
  <c r="DO74" i="2"/>
  <c r="DP74" i="2"/>
  <c r="DE75" i="2"/>
  <c r="DF75" i="2"/>
  <c r="DG75" i="2"/>
  <c r="DH75" i="2"/>
  <c r="DI75" i="2"/>
  <c r="DJ75" i="2"/>
  <c r="DK75" i="2"/>
  <c r="DL75" i="2"/>
  <c r="DM75" i="2"/>
  <c r="DN75" i="2"/>
  <c r="DO75" i="2"/>
  <c r="DP75" i="2"/>
  <c r="DE76" i="2"/>
  <c r="DF76" i="2"/>
  <c r="DG76" i="2"/>
  <c r="DH76" i="2"/>
  <c r="DI76" i="2"/>
  <c r="DJ76" i="2"/>
  <c r="DK76" i="2"/>
  <c r="DL76" i="2"/>
  <c r="DM76" i="2"/>
  <c r="DN76" i="2"/>
  <c r="DO76" i="2"/>
  <c r="DP76" i="2"/>
  <c r="DE77" i="2"/>
  <c r="DF77" i="2"/>
  <c r="DG77" i="2"/>
  <c r="DH77" i="2"/>
  <c r="DI77" i="2"/>
  <c r="DJ77" i="2"/>
  <c r="DK77" i="2"/>
  <c r="DL77" i="2"/>
  <c r="DM77" i="2"/>
  <c r="DN77" i="2"/>
  <c r="DO77" i="2"/>
  <c r="DP77" i="2"/>
  <c r="DE78" i="2"/>
  <c r="DF78" i="2"/>
  <c r="DG78" i="2"/>
  <c r="DH78" i="2"/>
  <c r="DI78" i="2"/>
  <c r="DJ78" i="2"/>
  <c r="DK78" i="2"/>
  <c r="DL78" i="2"/>
  <c r="DM78" i="2"/>
  <c r="DN78" i="2"/>
  <c r="DO78" i="2"/>
  <c r="DP78" i="2"/>
  <c r="DE79" i="2"/>
  <c r="DF79" i="2"/>
  <c r="DG79" i="2"/>
  <c r="DH79" i="2"/>
  <c r="DI79" i="2"/>
  <c r="DJ79" i="2"/>
  <c r="DK79" i="2"/>
  <c r="DL79" i="2"/>
  <c r="DM79" i="2"/>
  <c r="DN79" i="2"/>
  <c r="DO79" i="2"/>
  <c r="DP79" i="2"/>
  <c r="DE80" i="2"/>
  <c r="DF80" i="2"/>
  <c r="DG80" i="2"/>
  <c r="DH80" i="2"/>
  <c r="DI80" i="2"/>
  <c r="DJ80" i="2"/>
  <c r="DK80" i="2"/>
  <c r="DL80" i="2"/>
  <c r="DM80" i="2"/>
  <c r="DN80" i="2"/>
  <c r="DO80" i="2"/>
  <c r="DP80" i="2"/>
  <c r="DE81" i="2"/>
  <c r="DF81" i="2"/>
  <c r="DG81" i="2"/>
  <c r="DH81" i="2"/>
  <c r="DI81" i="2"/>
  <c r="DJ81" i="2"/>
  <c r="DK81" i="2"/>
  <c r="DL81" i="2"/>
  <c r="DM81" i="2"/>
  <c r="DN81" i="2"/>
  <c r="DO81" i="2"/>
  <c r="DP81" i="2"/>
  <c r="DE82" i="2"/>
  <c r="DF82" i="2"/>
  <c r="DG82" i="2"/>
  <c r="DH82" i="2"/>
  <c r="DI82" i="2"/>
  <c r="DJ82" i="2"/>
  <c r="DK82" i="2"/>
  <c r="DL82" i="2"/>
  <c r="DM82" i="2"/>
  <c r="DN82" i="2"/>
  <c r="DO82" i="2"/>
  <c r="DP82" i="2"/>
  <c r="DE83" i="2"/>
  <c r="DF83" i="2"/>
  <c r="DG83" i="2"/>
  <c r="DH83" i="2"/>
  <c r="DI83" i="2"/>
  <c r="DJ83" i="2"/>
  <c r="DK83" i="2"/>
  <c r="DL83" i="2"/>
  <c r="DM83" i="2"/>
  <c r="DN83" i="2"/>
  <c r="DO83" i="2"/>
  <c r="DP83" i="2"/>
  <c r="DE84" i="2"/>
  <c r="DF84" i="2"/>
  <c r="DG84" i="2"/>
  <c r="DH84" i="2"/>
  <c r="DI84" i="2"/>
  <c r="DJ84" i="2"/>
  <c r="DK84" i="2"/>
  <c r="DL84" i="2"/>
  <c r="DM84" i="2"/>
  <c r="DN84" i="2"/>
  <c r="DO84" i="2"/>
  <c r="DP84" i="2"/>
  <c r="DE92" i="2"/>
  <c r="DF92" i="2"/>
  <c r="DG92" i="2"/>
  <c r="DH92" i="2"/>
  <c r="DI92" i="2"/>
  <c r="DJ92" i="2"/>
  <c r="DK92" i="2"/>
  <c r="DL92" i="2"/>
  <c r="DM92" i="2"/>
  <c r="DN92" i="2"/>
  <c r="DO92" i="2"/>
  <c r="DP92" i="2"/>
  <c r="DG85" i="2"/>
  <c r="DH85" i="2"/>
  <c r="DI85" i="2"/>
  <c r="DJ85" i="2"/>
  <c r="DK85" i="2"/>
  <c r="DL85" i="2"/>
  <c r="DM85" i="2"/>
  <c r="DN85" i="2"/>
  <c r="DO85" i="2"/>
  <c r="DP85" i="2"/>
  <c r="AD76" i="9" s="1"/>
  <c r="DF85" i="2"/>
  <c r="DE85" i="2"/>
  <c r="CR85" i="2"/>
  <c r="AR92" i="2"/>
  <c r="AS92" i="2"/>
  <c r="AU92" i="2"/>
  <c r="AV92" i="2"/>
  <c r="AR93" i="2"/>
  <c r="AS93" i="2"/>
  <c r="AU93" i="2"/>
  <c r="AV93" i="2"/>
  <c r="AR94" i="2"/>
  <c r="AS94" i="2"/>
  <c r="AU94" i="2"/>
  <c r="AV94" i="2"/>
  <c r="AR95" i="2"/>
  <c r="AS95" i="2"/>
  <c r="AU95" i="2"/>
  <c r="AV95" i="2"/>
  <c r="AR96" i="2"/>
  <c r="AS96" i="2"/>
  <c r="AU96" i="2"/>
  <c r="AV96" i="2"/>
  <c r="AR97" i="2"/>
  <c r="AS97" i="2"/>
  <c r="AU97" i="2"/>
  <c r="AV97" i="2"/>
  <c r="AR98" i="2"/>
  <c r="AS98" i="2"/>
  <c r="AU98" i="2"/>
  <c r="AV98" i="2"/>
  <c r="AR99" i="2"/>
  <c r="AS99" i="2"/>
  <c r="AU99" i="2"/>
  <c r="AV99" i="2"/>
  <c r="AR100" i="2"/>
  <c r="AS100" i="2"/>
  <c r="AU100" i="2"/>
  <c r="AV100" i="2"/>
  <c r="AR101" i="2"/>
  <c r="AS101" i="2"/>
  <c r="AU101" i="2"/>
  <c r="AV101" i="2"/>
  <c r="AR102" i="2"/>
  <c r="AS102" i="2"/>
  <c r="AU102" i="2"/>
  <c r="AV102" i="2"/>
  <c r="AR103" i="2"/>
  <c r="AS103" i="2"/>
  <c r="AU103" i="2"/>
  <c r="AV103" i="2"/>
  <c r="AR104" i="2"/>
  <c r="AS104" i="2"/>
  <c r="AU104" i="2"/>
  <c r="AV104" i="2"/>
  <c r="AR105" i="2"/>
  <c r="AS105" i="2"/>
  <c r="AU105" i="2"/>
  <c r="AV105" i="2"/>
  <c r="AR106" i="2"/>
  <c r="AS106" i="2"/>
  <c r="AU106" i="2"/>
  <c r="AV106" i="2"/>
  <c r="AR107" i="2"/>
  <c r="AS107" i="2"/>
  <c r="AU107" i="2"/>
  <c r="AV107" i="2"/>
  <c r="AR108" i="2"/>
  <c r="AS108" i="2"/>
  <c r="AU108" i="2"/>
  <c r="AV108" i="2"/>
  <c r="AR109" i="2"/>
  <c r="AS109" i="2"/>
  <c r="AU109" i="2"/>
  <c r="AV109" i="2"/>
  <c r="AR110" i="2"/>
  <c r="AS110" i="2"/>
  <c r="AU110" i="2"/>
  <c r="AV110" i="2"/>
  <c r="AR111" i="2"/>
  <c r="AS111" i="2"/>
  <c r="AU111" i="2"/>
  <c r="AV111" i="2"/>
  <c r="AR112" i="2"/>
  <c r="AS112" i="2"/>
  <c r="AU112" i="2"/>
  <c r="AV112" i="2"/>
  <c r="AR113" i="2"/>
  <c r="AS113" i="2"/>
  <c r="AU113" i="2"/>
  <c r="AV113" i="2"/>
  <c r="AR114" i="2"/>
  <c r="AS114" i="2"/>
  <c r="AU114" i="2"/>
  <c r="AV114" i="2"/>
  <c r="DD84" i="2"/>
  <c r="DC84" i="2"/>
  <c r="DB84" i="2"/>
  <c r="DA84" i="2"/>
  <c r="CZ84" i="2"/>
  <c r="CY84" i="2"/>
  <c r="CX84" i="2"/>
  <c r="CW84" i="2"/>
  <c r="CV84" i="2"/>
  <c r="CU84" i="2"/>
  <c r="CT84" i="2"/>
  <c r="CS84" i="2"/>
  <c r="CR84" i="2"/>
  <c r="DD83" i="2"/>
  <c r="DC83" i="2"/>
  <c r="DB83" i="2"/>
  <c r="DA83" i="2"/>
  <c r="CZ83" i="2"/>
  <c r="CY83" i="2"/>
  <c r="CX83" i="2"/>
  <c r="CW83" i="2"/>
  <c r="CV83" i="2"/>
  <c r="CU83" i="2"/>
  <c r="CT83" i="2"/>
  <c r="CS83" i="2"/>
  <c r="CR83" i="2"/>
  <c r="DD82" i="2"/>
  <c r="DC82" i="2"/>
  <c r="DB82" i="2"/>
  <c r="DA82" i="2"/>
  <c r="CZ82" i="2"/>
  <c r="CY82" i="2"/>
  <c r="CX82" i="2"/>
  <c r="CW82" i="2"/>
  <c r="CV82" i="2"/>
  <c r="CU82" i="2"/>
  <c r="CT82" i="2"/>
  <c r="CS82" i="2"/>
  <c r="CR82" i="2"/>
  <c r="DD81" i="2"/>
  <c r="DC81" i="2"/>
  <c r="DB81" i="2"/>
  <c r="DA81" i="2"/>
  <c r="CZ81" i="2"/>
  <c r="CY81" i="2"/>
  <c r="CX81" i="2"/>
  <c r="CW81" i="2"/>
  <c r="CV81" i="2"/>
  <c r="CU81" i="2"/>
  <c r="CT81" i="2"/>
  <c r="CS81" i="2"/>
  <c r="CR81" i="2"/>
  <c r="DD80" i="2"/>
  <c r="DC80" i="2"/>
  <c r="DB80" i="2"/>
  <c r="DA80" i="2"/>
  <c r="CZ80" i="2"/>
  <c r="CY80" i="2"/>
  <c r="CX80" i="2"/>
  <c r="CW80" i="2"/>
  <c r="CV80" i="2"/>
  <c r="CU80" i="2"/>
  <c r="CT80" i="2"/>
  <c r="CS80" i="2"/>
  <c r="CR80" i="2"/>
  <c r="DD79" i="2"/>
  <c r="DC79" i="2"/>
  <c r="DB79" i="2"/>
  <c r="DA79" i="2"/>
  <c r="CZ79" i="2"/>
  <c r="CY79" i="2"/>
  <c r="CX79" i="2"/>
  <c r="CW79" i="2"/>
  <c r="CV79" i="2"/>
  <c r="CU79" i="2"/>
  <c r="CT79" i="2"/>
  <c r="CS79" i="2"/>
  <c r="CR79" i="2"/>
  <c r="DD78" i="2"/>
  <c r="DC78" i="2"/>
  <c r="DB78" i="2"/>
  <c r="DA78" i="2"/>
  <c r="CZ78" i="2"/>
  <c r="CY78" i="2"/>
  <c r="CX78" i="2"/>
  <c r="CW78" i="2"/>
  <c r="CV78" i="2"/>
  <c r="CU78" i="2"/>
  <c r="CT78" i="2"/>
  <c r="CS78" i="2"/>
  <c r="CR78" i="2"/>
  <c r="DD77" i="2"/>
  <c r="DC77" i="2"/>
  <c r="DB77" i="2"/>
  <c r="DA77" i="2"/>
  <c r="CZ77" i="2"/>
  <c r="CY77" i="2"/>
  <c r="CX77" i="2"/>
  <c r="CW77" i="2"/>
  <c r="CV77" i="2"/>
  <c r="CU77" i="2"/>
  <c r="CT77" i="2"/>
  <c r="CS77" i="2"/>
  <c r="CR77" i="2"/>
  <c r="DD76" i="2"/>
  <c r="DC76" i="2"/>
  <c r="DB76" i="2"/>
  <c r="DA76" i="2"/>
  <c r="CZ76" i="2"/>
  <c r="CY76" i="2"/>
  <c r="CX76" i="2"/>
  <c r="CW76" i="2"/>
  <c r="CV76" i="2"/>
  <c r="CU76" i="2"/>
  <c r="CT76" i="2"/>
  <c r="CS76" i="2"/>
  <c r="CR76" i="2"/>
  <c r="DD75" i="2"/>
  <c r="DC75" i="2"/>
  <c r="DB75" i="2"/>
  <c r="DA75" i="2"/>
  <c r="CZ75" i="2"/>
  <c r="CY75" i="2"/>
  <c r="CX75" i="2"/>
  <c r="CW75" i="2"/>
  <c r="CV75" i="2"/>
  <c r="CU75" i="2"/>
  <c r="CT75" i="2"/>
  <c r="CS75" i="2"/>
  <c r="CR75" i="2"/>
  <c r="DD74" i="2"/>
  <c r="DC74" i="2"/>
  <c r="DB74" i="2"/>
  <c r="DA74" i="2"/>
  <c r="CZ74" i="2"/>
  <c r="CY74" i="2"/>
  <c r="CX74" i="2"/>
  <c r="CW74" i="2"/>
  <c r="CV74" i="2"/>
  <c r="CU74" i="2"/>
  <c r="CT74" i="2"/>
  <c r="CS74" i="2"/>
  <c r="CR74" i="2"/>
  <c r="DD73" i="2"/>
  <c r="DC73" i="2"/>
  <c r="DB73" i="2"/>
  <c r="DA73" i="2"/>
  <c r="CZ73" i="2"/>
  <c r="CY73" i="2"/>
  <c r="CX73" i="2"/>
  <c r="CW73" i="2"/>
  <c r="CV73" i="2"/>
  <c r="CU73" i="2"/>
  <c r="CT73" i="2"/>
  <c r="CS73" i="2"/>
  <c r="CR73" i="2"/>
  <c r="DD72" i="2"/>
  <c r="DC72" i="2"/>
  <c r="DB72" i="2"/>
  <c r="DA72" i="2"/>
  <c r="CZ72" i="2"/>
  <c r="CY72" i="2"/>
  <c r="CX72" i="2"/>
  <c r="CW72" i="2"/>
  <c r="CV72" i="2"/>
  <c r="CU72" i="2"/>
  <c r="CT72" i="2"/>
  <c r="CS72" i="2"/>
  <c r="CR72" i="2"/>
  <c r="DD71" i="2"/>
  <c r="DC71" i="2"/>
  <c r="DB71" i="2"/>
  <c r="DA71" i="2"/>
  <c r="CZ71" i="2"/>
  <c r="CY71" i="2"/>
  <c r="CX71" i="2"/>
  <c r="CW71" i="2"/>
  <c r="CV71" i="2"/>
  <c r="CU71" i="2"/>
  <c r="CT71" i="2"/>
  <c r="CS71" i="2"/>
  <c r="CR71" i="2"/>
  <c r="DD70" i="2"/>
  <c r="DC70" i="2"/>
  <c r="DB70" i="2"/>
  <c r="DA70" i="2"/>
  <c r="CZ70" i="2"/>
  <c r="CY70" i="2"/>
  <c r="CX70" i="2"/>
  <c r="CW70" i="2"/>
  <c r="CV70" i="2"/>
  <c r="CU70" i="2"/>
  <c r="CT70" i="2"/>
  <c r="CS70" i="2"/>
  <c r="CR70" i="2"/>
  <c r="DD69" i="2"/>
  <c r="DC69" i="2"/>
  <c r="DB69" i="2"/>
  <c r="DA69" i="2"/>
  <c r="CZ69" i="2"/>
  <c r="CY69" i="2"/>
  <c r="CX69" i="2"/>
  <c r="CW69" i="2"/>
  <c r="CV69" i="2"/>
  <c r="CU69" i="2"/>
  <c r="CT69" i="2"/>
  <c r="CS69" i="2"/>
  <c r="CR69" i="2"/>
  <c r="DD68" i="2"/>
  <c r="DC68" i="2"/>
  <c r="DB68" i="2"/>
  <c r="DA68" i="2"/>
  <c r="CZ68" i="2"/>
  <c r="CY68" i="2"/>
  <c r="CX68" i="2"/>
  <c r="CW68" i="2"/>
  <c r="CV68" i="2"/>
  <c r="CU68" i="2"/>
  <c r="CT68" i="2"/>
  <c r="CS68" i="2"/>
  <c r="CR68" i="2"/>
  <c r="DD26" i="2"/>
  <c r="DC26" i="2"/>
  <c r="DB26" i="2"/>
  <c r="DA26" i="2"/>
  <c r="CZ26" i="2"/>
  <c r="CY26" i="2"/>
  <c r="CX26" i="2"/>
  <c r="CW26" i="2"/>
  <c r="CV26" i="2"/>
  <c r="CU26" i="2"/>
  <c r="CT26" i="2"/>
  <c r="CS26" i="2"/>
  <c r="CR26" i="2"/>
  <c r="DD25" i="2"/>
  <c r="DC25" i="2"/>
  <c r="DB25" i="2"/>
  <c r="DA25" i="2"/>
  <c r="CZ25" i="2"/>
  <c r="CY25" i="2"/>
  <c r="CX25" i="2"/>
  <c r="CW25" i="2"/>
  <c r="CV25" i="2"/>
  <c r="CU25" i="2"/>
  <c r="CT25" i="2"/>
  <c r="CS25" i="2"/>
  <c r="CR25" i="2"/>
  <c r="DD4" i="2"/>
  <c r="DC4" i="2"/>
  <c r="DB4" i="2"/>
  <c r="DA4" i="2"/>
  <c r="CZ4" i="2"/>
  <c r="CY4" i="2"/>
  <c r="CX4" i="2"/>
  <c r="CW4" i="2"/>
  <c r="CV4" i="2"/>
  <c r="CU4" i="2"/>
  <c r="CT4" i="2"/>
  <c r="CS4" i="2"/>
  <c r="CR4" i="2"/>
  <c r="DD91" i="2"/>
  <c r="DC91" i="2"/>
  <c r="DB91" i="2"/>
  <c r="DA91" i="2"/>
  <c r="CZ91" i="2"/>
  <c r="CY91" i="2"/>
  <c r="CX91" i="2"/>
  <c r="CW91" i="2"/>
  <c r="CV91" i="2"/>
  <c r="CU91" i="2"/>
  <c r="CT91" i="2"/>
  <c r="CS91" i="2"/>
  <c r="CR91" i="2"/>
  <c r="DD30" i="2"/>
  <c r="DC30" i="2"/>
  <c r="DB30" i="2"/>
  <c r="DA30" i="2"/>
  <c r="CZ30" i="2"/>
  <c r="CY30" i="2"/>
  <c r="CX30" i="2"/>
  <c r="CW30" i="2"/>
  <c r="CV30" i="2"/>
  <c r="CU30" i="2"/>
  <c r="CT30" i="2"/>
  <c r="CS30" i="2"/>
  <c r="CR30" i="2"/>
  <c r="DD65" i="2"/>
  <c r="DC65" i="2"/>
  <c r="DB65" i="2"/>
  <c r="DA65" i="2"/>
  <c r="CZ65" i="2"/>
  <c r="CY65" i="2"/>
  <c r="CX65" i="2"/>
  <c r="CW65" i="2"/>
  <c r="CV65" i="2"/>
  <c r="CU65" i="2"/>
  <c r="CT65" i="2"/>
  <c r="CS65" i="2"/>
  <c r="CR65" i="2"/>
  <c r="DD64" i="2"/>
  <c r="DC64" i="2"/>
  <c r="DB64" i="2"/>
  <c r="DA64" i="2"/>
  <c r="CZ64" i="2"/>
  <c r="CY64" i="2"/>
  <c r="CX64" i="2"/>
  <c r="CW64" i="2"/>
  <c r="CV64" i="2"/>
  <c r="CU64" i="2"/>
  <c r="CT64" i="2"/>
  <c r="CS64" i="2"/>
  <c r="CR64" i="2"/>
  <c r="DD29" i="2"/>
  <c r="DC29" i="2"/>
  <c r="DB29" i="2"/>
  <c r="DA29" i="2"/>
  <c r="CZ29" i="2"/>
  <c r="CY29" i="2"/>
  <c r="CX29" i="2"/>
  <c r="CW29" i="2"/>
  <c r="CV29" i="2"/>
  <c r="CU29" i="2"/>
  <c r="CT29" i="2"/>
  <c r="CS29" i="2"/>
  <c r="CR29" i="2"/>
  <c r="DD31" i="2"/>
  <c r="DC31" i="2"/>
  <c r="DB31" i="2"/>
  <c r="DA31" i="2"/>
  <c r="CZ31" i="2"/>
  <c r="CY31" i="2"/>
  <c r="CX31" i="2"/>
  <c r="CW31" i="2"/>
  <c r="CV31" i="2"/>
  <c r="CU31" i="2"/>
  <c r="CT31" i="2"/>
  <c r="CS31" i="2"/>
  <c r="CR31" i="2"/>
  <c r="DD24" i="2"/>
  <c r="DC24" i="2"/>
  <c r="DB24" i="2"/>
  <c r="DA24" i="2"/>
  <c r="CZ24" i="2"/>
  <c r="CY24" i="2"/>
  <c r="CX24" i="2"/>
  <c r="CW24" i="2"/>
  <c r="CV24" i="2"/>
  <c r="CU24" i="2"/>
  <c r="CT24" i="2"/>
  <c r="CS24" i="2"/>
  <c r="CR24" i="2"/>
  <c r="DD23" i="2"/>
  <c r="DC23" i="2"/>
  <c r="DB23" i="2"/>
  <c r="DA23" i="2"/>
  <c r="CZ23" i="2"/>
  <c r="CY23" i="2"/>
  <c r="CX23" i="2"/>
  <c r="CW23" i="2"/>
  <c r="CV23" i="2"/>
  <c r="CU23" i="2"/>
  <c r="CT23" i="2"/>
  <c r="CS23" i="2"/>
  <c r="CR23" i="2"/>
  <c r="DD22" i="2"/>
  <c r="DC22" i="2"/>
  <c r="DB22" i="2"/>
  <c r="DA22" i="2"/>
  <c r="CZ22" i="2"/>
  <c r="CY22" i="2"/>
  <c r="CX22" i="2"/>
  <c r="CW22" i="2"/>
  <c r="CV22" i="2"/>
  <c r="CU22" i="2"/>
  <c r="CT22" i="2"/>
  <c r="CS22" i="2"/>
  <c r="CR22" i="2"/>
  <c r="DD21" i="2"/>
  <c r="DC21" i="2"/>
  <c r="DB21" i="2"/>
  <c r="DA21" i="2"/>
  <c r="CZ21" i="2"/>
  <c r="CY21" i="2"/>
  <c r="CX21" i="2"/>
  <c r="CW21" i="2"/>
  <c r="CV21" i="2"/>
  <c r="CU21" i="2"/>
  <c r="CT21" i="2"/>
  <c r="CS21" i="2"/>
  <c r="CR21" i="2"/>
  <c r="DD39" i="2"/>
  <c r="DC39" i="2"/>
  <c r="DB39" i="2"/>
  <c r="DA39" i="2"/>
  <c r="CZ39" i="2"/>
  <c r="CY39" i="2"/>
  <c r="CX39" i="2"/>
  <c r="CW39" i="2"/>
  <c r="CV39" i="2"/>
  <c r="CU39" i="2"/>
  <c r="CT39" i="2"/>
  <c r="CS39" i="2"/>
  <c r="CR39" i="2"/>
  <c r="DD38" i="2"/>
  <c r="DC38" i="2"/>
  <c r="DB38" i="2"/>
  <c r="DA38" i="2"/>
  <c r="CZ38" i="2"/>
  <c r="CY38" i="2"/>
  <c r="CX38" i="2"/>
  <c r="CW38" i="2"/>
  <c r="CV38" i="2"/>
  <c r="CU38" i="2"/>
  <c r="CT38" i="2"/>
  <c r="CS38" i="2"/>
  <c r="CR38" i="2"/>
  <c r="DD35" i="2"/>
  <c r="DC35" i="2"/>
  <c r="DB35" i="2"/>
  <c r="DA35" i="2"/>
  <c r="CZ35" i="2"/>
  <c r="CY35" i="2"/>
  <c r="CX35" i="2"/>
  <c r="CW35" i="2"/>
  <c r="CV35" i="2"/>
  <c r="CU35" i="2"/>
  <c r="CT35" i="2"/>
  <c r="CS35" i="2"/>
  <c r="CR35" i="2"/>
  <c r="DD37" i="2"/>
  <c r="DC37" i="2"/>
  <c r="DB37" i="2"/>
  <c r="DA37" i="2"/>
  <c r="CZ37" i="2"/>
  <c r="CY37" i="2"/>
  <c r="CX37" i="2"/>
  <c r="CW37" i="2"/>
  <c r="CV37" i="2"/>
  <c r="CU37" i="2"/>
  <c r="CT37" i="2"/>
  <c r="CS37" i="2"/>
  <c r="CR37" i="2"/>
  <c r="DD36" i="2"/>
  <c r="DC36" i="2"/>
  <c r="DB36" i="2"/>
  <c r="DA36" i="2"/>
  <c r="CZ36" i="2"/>
  <c r="CY36" i="2"/>
  <c r="CX36" i="2"/>
  <c r="CW36" i="2"/>
  <c r="CV36" i="2"/>
  <c r="CU36" i="2"/>
  <c r="CT36" i="2"/>
  <c r="CS36" i="2"/>
  <c r="CR36" i="2"/>
  <c r="CT67" i="2"/>
  <c r="CS67" i="2"/>
  <c r="CT66" i="2"/>
  <c r="CS66" i="2"/>
  <c r="DD19" i="2"/>
  <c r="DC19" i="2"/>
  <c r="DB19" i="2"/>
  <c r="DA19" i="2"/>
  <c r="CZ19" i="2"/>
  <c r="CY19" i="2"/>
  <c r="CX19" i="2"/>
  <c r="CW19" i="2"/>
  <c r="CV19" i="2"/>
  <c r="CU19" i="2"/>
  <c r="CT19" i="2"/>
  <c r="CS19" i="2"/>
  <c r="CR19" i="2"/>
  <c r="DD20" i="2"/>
  <c r="DC20" i="2"/>
  <c r="DB20" i="2"/>
  <c r="DA20" i="2"/>
  <c r="CZ20" i="2"/>
  <c r="CY20" i="2"/>
  <c r="CX20" i="2"/>
  <c r="CW20" i="2"/>
  <c r="CV20" i="2"/>
  <c r="CU20" i="2"/>
  <c r="CT20" i="2"/>
  <c r="CS20" i="2"/>
  <c r="CR20" i="2"/>
  <c r="DD18" i="2"/>
  <c r="DC18" i="2"/>
  <c r="DB18" i="2"/>
  <c r="DA18" i="2"/>
  <c r="CZ18" i="2"/>
  <c r="CY18" i="2"/>
  <c r="CX18" i="2"/>
  <c r="CW18" i="2"/>
  <c r="CV18" i="2"/>
  <c r="CU18" i="2"/>
  <c r="CT18" i="2"/>
  <c r="CS18" i="2"/>
  <c r="CR18" i="2"/>
  <c r="DD47" i="2"/>
  <c r="DC47" i="2"/>
  <c r="DB47" i="2"/>
  <c r="DA47" i="2"/>
  <c r="CZ47" i="2"/>
  <c r="CY47" i="2"/>
  <c r="CX47" i="2"/>
  <c r="CW47" i="2"/>
  <c r="CV47" i="2"/>
  <c r="CU47" i="2"/>
  <c r="CT47" i="2"/>
  <c r="CS47" i="2"/>
  <c r="CR47" i="2"/>
  <c r="DD88" i="2"/>
  <c r="DC88" i="2"/>
  <c r="DB88" i="2"/>
  <c r="DA88" i="2"/>
  <c r="CZ88" i="2"/>
  <c r="CY88" i="2"/>
  <c r="CX88" i="2"/>
  <c r="CW88" i="2"/>
  <c r="CV88" i="2"/>
  <c r="CU88" i="2"/>
  <c r="CT88" i="2"/>
  <c r="CS88" i="2"/>
  <c r="CR88" i="2"/>
  <c r="DD87" i="2"/>
  <c r="DC87" i="2"/>
  <c r="DB87" i="2"/>
  <c r="DA87" i="2"/>
  <c r="CZ87" i="2"/>
  <c r="CY87" i="2"/>
  <c r="CX87" i="2"/>
  <c r="CW87" i="2"/>
  <c r="CV87" i="2"/>
  <c r="CU87" i="2"/>
  <c r="CT87" i="2"/>
  <c r="CS87" i="2"/>
  <c r="CR87" i="2"/>
  <c r="DD48" i="2"/>
  <c r="DC48" i="2"/>
  <c r="DB48" i="2"/>
  <c r="DA48" i="2"/>
  <c r="CZ48" i="2"/>
  <c r="CY48" i="2"/>
  <c r="CX48" i="2"/>
  <c r="CW48" i="2"/>
  <c r="CV48" i="2"/>
  <c r="CU48" i="2"/>
  <c r="CT48" i="2"/>
  <c r="CS48" i="2"/>
  <c r="CR48" i="2"/>
  <c r="DD8" i="2"/>
  <c r="DC8" i="2"/>
  <c r="DB8" i="2"/>
  <c r="DA8" i="2"/>
  <c r="CZ8" i="2"/>
  <c r="CY8" i="2"/>
  <c r="CX8" i="2"/>
  <c r="CW8" i="2"/>
  <c r="CV8" i="2"/>
  <c r="CU8" i="2"/>
  <c r="CT8" i="2"/>
  <c r="CS8" i="2"/>
  <c r="CR8" i="2"/>
  <c r="DD7" i="2"/>
  <c r="DC7" i="2"/>
  <c r="DB7" i="2"/>
  <c r="DA7" i="2"/>
  <c r="CZ7" i="2"/>
  <c r="CY7" i="2"/>
  <c r="CX7" i="2"/>
  <c r="CW7" i="2"/>
  <c r="CV7" i="2"/>
  <c r="CU7" i="2"/>
  <c r="CT7" i="2"/>
  <c r="CS7" i="2"/>
  <c r="CR7" i="2"/>
  <c r="DD6" i="2"/>
  <c r="DC6" i="2"/>
  <c r="DB6" i="2"/>
  <c r="DA6" i="2"/>
  <c r="CZ6" i="2"/>
  <c r="CY6" i="2"/>
  <c r="CX6" i="2"/>
  <c r="CW6" i="2"/>
  <c r="CV6" i="2"/>
  <c r="CU6" i="2"/>
  <c r="CT6" i="2"/>
  <c r="CS6" i="2"/>
  <c r="CR6" i="2"/>
  <c r="DD5" i="2"/>
  <c r="DC5" i="2"/>
  <c r="DB5" i="2"/>
  <c r="DA5" i="2"/>
  <c r="CZ5" i="2"/>
  <c r="CY5" i="2"/>
  <c r="CX5" i="2"/>
  <c r="CW5" i="2"/>
  <c r="CV5" i="2"/>
  <c r="CU5" i="2"/>
  <c r="CT5" i="2"/>
  <c r="CS5" i="2"/>
  <c r="CR5" i="2"/>
  <c r="DD9" i="2"/>
  <c r="DC9" i="2"/>
  <c r="DB9" i="2"/>
  <c r="DA9" i="2"/>
  <c r="CZ9" i="2"/>
  <c r="CY9" i="2"/>
  <c r="CX9" i="2"/>
  <c r="CW9" i="2"/>
  <c r="CV9" i="2"/>
  <c r="CU9" i="2"/>
  <c r="CT9" i="2"/>
  <c r="CS9" i="2"/>
  <c r="CR9" i="2"/>
  <c r="DD45" i="2"/>
  <c r="DC45" i="2"/>
  <c r="DB45" i="2"/>
  <c r="DA45" i="2"/>
  <c r="CZ45" i="2"/>
  <c r="CY45" i="2"/>
  <c r="CX45" i="2"/>
  <c r="CW45" i="2"/>
  <c r="CV45" i="2"/>
  <c r="CU45" i="2"/>
  <c r="CT45" i="2"/>
  <c r="CS45" i="2"/>
  <c r="CR45" i="2"/>
  <c r="DD44" i="2"/>
  <c r="DC44" i="2"/>
  <c r="DB44" i="2"/>
  <c r="DA44" i="2"/>
  <c r="CZ44" i="2"/>
  <c r="CY44" i="2"/>
  <c r="CX44" i="2"/>
  <c r="CW44" i="2"/>
  <c r="CV44" i="2"/>
  <c r="CU44" i="2"/>
  <c r="CT44" i="2"/>
  <c r="CS44" i="2"/>
  <c r="CR44" i="2"/>
  <c r="DD43" i="2"/>
  <c r="DC43" i="2"/>
  <c r="DB43" i="2"/>
  <c r="DA43" i="2"/>
  <c r="CZ43" i="2"/>
  <c r="CY43" i="2"/>
  <c r="CX43" i="2"/>
  <c r="CW43" i="2"/>
  <c r="CV43" i="2"/>
  <c r="CU43" i="2"/>
  <c r="CT43" i="2"/>
  <c r="CS43" i="2"/>
  <c r="CR43" i="2"/>
  <c r="DD12" i="2"/>
  <c r="DC12" i="2"/>
  <c r="DB12" i="2"/>
  <c r="DA12" i="2"/>
  <c r="CZ12" i="2"/>
  <c r="CY12" i="2"/>
  <c r="CX12" i="2"/>
  <c r="CW12" i="2"/>
  <c r="CV12" i="2"/>
  <c r="CU12" i="2"/>
  <c r="CT12" i="2"/>
  <c r="CS12" i="2"/>
  <c r="CR12" i="2"/>
  <c r="DD11" i="2"/>
  <c r="DC11" i="2"/>
  <c r="DB11" i="2"/>
  <c r="DA11" i="2"/>
  <c r="CZ11" i="2"/>
  <c r="CY11" i="2"/>
  <c r="CX11" i="2"/>
  <c r="CW11" i="2"/>
  <c r="CV11" i="2"/>
  <c r="CU11" i="2"/>
  <c r="CT11" i="2"/>
  <c r="CS11" i="2"/>
  <c r="CR11" i="2"/>
  <c r="DD32" i="2"/>
  <c r="DC32" i="2"/>
  <c r="DB32" i="2"/>
  <c r="DA32" i="2"/>
  <c r="CZ32" i="2"/>
  <c r="CY32" i="2"/>
  <c r="CX32" i="2"/>
  <c r="CW32" i="2"/>
  <c r="CV32" i="2"/>
  <c r="CU32" i="2"/>
  <c r="CT32" i="2"/>
  <c r="CS32" i="2"/>
  <c r="CR32" i="2"/>
  <c r="DD33" i="2"/>
  <c r="DC33" i="2"/>
  <c r="DB33" i="2"/>
  <c r="DA33" i="2"/>
  <c r="CZ33" i="2"/>
  <c r="CY33" i="2"/>
  <c r="CX33" i="2"/>
  <c r="CW33" i="2"/>
  <c r="CV33" i="2"/>
  <c r="CU33" i="2"/>
  <c r="CT33" i="2"/>
  <c r="CS33" i="2"/>
  <c r="CR33" i="2"/>
  <c r="DD10" i="2"/>
  <c r="DC10" i="2"/>
  <c r="DB10" i="2"/>
  <c r="DA10" i="2"/>
  <c r="CZ10" i="2"/>
  <c r="CY10" i="2"/>
  <c r="CX10" i="2"/>
  <c r="CW10" i="2"/>
  <c r="CV10" i="2"/>
  <c r="CU10" i="2"/>
  <c r="CT10" i="2"/>
  <c r="CS10" i="2"/>
  <c r="CR10" i="2"/>
  <c r="DD34" i="2"/>
  <c r="DC34" i="2"/>
  <c r="DB34" i="2"/>
  <c r="DA34" i="2"/>
  <c r="CZ34" i="2"/>
  <c r="CY34" i="2"/>
  <c r="CX34" i="2"/>
  <c r="CW34" i="2"/>
  <c r="CV34" i="2"/>
  <c r="CU34" i="2"/>
  <c r="CT34" i="2"/>
  <c r="CS34" i="2"/>
  <c r="CR34" i="2"/>
  <c r="DD17" i="2"/>
  <c r="DC17" i="2"/>
  <c r="DB17" i="2"/>
  <c r="DA17" i="2"/>
  <c r="CZ17" i="2"/>
  <c r="CY17" i="2"/>
  <c r="CX17" i="2"/>
  <c r="CW17" i="2"/>
  <c r="CV17" i="2"/>
  <c r="CU17" i="2"/>
  <c r="CT17" i="2"/>
  <c r="CS17" i="2"/>
  <c r="CR17" i="2"/>
  <c r="DD16" i="2"/>
  <c r="DC16" i="2"/>
  <c r="DB16" i="2"/>
  <c r="DA16" i="2"/>
  <c r="CZ16" i="2"/>
  <c r="CY16" i="2"/>
  <c r="CX16" i="2"/>
  <c r="CW16" i="2"/>
  <c r="CV16" i="2"/>
  <c r="CU16" i="2"/>
  <c r="CT16" i="2"/>
  <c r="CS16" i="2"/>
  <c r="CR16" i="2"/>
  <c r="DD15" i="2"/>
  <c r="DC15" i="2"/>
  <c r="DB15" i="2"/>
  <c r="DA15" i="2"/>
  <c r="CZ15" i="2"/>
  <c r="CY15" i="2"/>
  <c r="CX15" i="2"/>
  <c r="CW15" i="2"/>
  <c r="CV15" i="2"/>
  <c r="CU15" i="2"/>
  <c r="CT15" i="2"/>
  <c r="CS15" i="2"/>
  <c r="CR15" i="2"/>
  <c r="DD41" i="2"/>
  <c r="DC41" i="2"/>
  <c r="DB41" i="2"/>
  <c r="DA41" i="2"/>
  <c r="CZ41" i="2"/>
  <c r="CY41" i="2"/>
  <c r="CX41" i="2"/>
  <c r="CW41" i="2"/>
  <c r="CV41" i="2"/>
  <c r="CU41" i="2"/>
  <c r="CT41" i="2"/>
  <c r="CS41" i="2"/>
  <c r="CR41" i="2"/>
  <c r="DD13" i="2"/>
  <c r="DC13" i="2"/>
  <c r="DB13" i="2"/>
  <c r="DA13" i="2"/>
  <c r="CZ13" i="2"/>
  <c r="CY13" i="2"/>
  <c r="CX13" i="2"/>
  <c r="CW13" i="2"/>
  <c r="CV13" i="2"/>
  <c r="CU13" i="2"/>
  <c r="CT13" i="2"/>
  <c r="CS13" i="2"/>
  <c r="CR13" i="2"/>
  <c r="DD14" i="2"/>
  <c r="DC14" i="2"/>
  <c r="DB14" i="2"/>
  <c r="DA14" i="2"/>
  <c r="CZ14" i="2"/>
  <c r="CY14" i="2"/>
  <c r="CX14" i="2"/>
  <c r="CW14" i="2"/>
  <c r="CV14" i="2"/>
  <c r="CU14" i="2"/>
  <c r="CT14" i="2"/>
  <c r="CS14" i="2"/>
  <c r="CR14" i="2"/>
  <c r="DD53" i="2"/>
  <c r="DC53" i="2"/>
  <c r="DB53" i="2"/>
  <c r="DA53" i="2"/>
  <c r="CZ53" i="2"/>
  <c r="CY53" i="2"/>
  <c r="CX53" i="2"/>
  <c r="CW53" i="2"/>
  <c r="CV53" i="2"/>
  <c r="CU53" i="2"/>
  <c r="CT53" i="2"/>
  <c r="CS53" i="2"/>
  <c r="CR53" i="2"/>
  <c r="DD52" i="2"/>
  <c r="DC52" i="2"/>
  <c r="DB52" i="2"/>
  <c r="DA52" i="2"/>
  <c r="CZ52" i="2"/>
  <c r="CY52" i="2"/>
  <c r="CX52" i="2"/>
  <c r="CW52" i="2"/>
  <c r="CV52" i="2"/>
  <c r="CU52" i="2"/>
  <c r="CT52" i="2"/>
  <c r="CS52" i="2"/>
  <c r="CR52" i="2"/>
  <c r="DD55" i="2"/>
  <c r="DC55" i="2"/>
  <c r="DB55" i="2"/>
  <c r="DA55" i="2"/>
  <c r="CZ55" i="2"/>
  <c r="CY55" i="2"/>
  <c r="CX55" i="2"/>
  <c r="CW55" i="2"/>
  <c r="CV55" i="2"/>
  <c r="CU55" i="2"/>
  <c r="CT55" i="2"/>
  <c r="CS55" i="2"/>
  <c r="CR55" i="2"/>
  <c r="DD89" i="2"/>
  <c r="DC89" i="2"/>
  <c r="DB89" i="2"/>
  <c r="DA89" i="2"/>
  <c r="CZ89" i="2"/>
  <c r="CY89" i="2"/>
  <c r="CX89" i="2"/>
  <c r="CW89" i="2"/>
  <c r="CV89" i="2"/>
  <c r="CU89" i="2"/>
  <c r="CT89" i="2"/>
  <c r="CS89" i="2"/>
  <c r="CR89" i="2"/>
  <c r="DD54" i="2"/>
  <c r="DC54" i="2"/>
  <c r="DB54" i="2"/>
  <c r="DA54" i="2"/>
  <c r="CZ54" i="2"/>
  <c r="CY54" i="2"/>
  <c r="CX54" i="2"/>
  <c r="CW54" i="2"/>
  <c r="CV54" i="2"/>
  <c r="CU54" i="2"/>
  <c r="CT54" i="2"/>
  <c r="CS54" i="2"/>
  <c r="CR54" i="2"/>
  <c r="DD86" i="2"/>
  <c r="DC86" i="2"/>
  <c r="DB86" i="2"/>
  <c r="DA86" i="2"/>
  <c r="CZ86" i="2"/>
  <c r="CY86" i="2"/>
  <c r="CX86" i="2"/>
  <c r="CW86" i="2"/>
  <c r="CV86" i="2"/>
  <c r="CU86" i="2"/>
  <c r="CT86" i="2"/>
  <c r="CS86" i="2"/>
  <c r="CR86" i="2"/>
  <c r="DD63" i="2"/>
  <c r="DC63" i="2"/>
  <c r="DB63" i="2"/>
  <c r="DA63" i="2"/>
  <c r="CZ63" i="2"/>
  <c r="CY63" i="2"/>
  <c r="CX63" i="2"/>
  <c r="CW63" i="2"/>
  <c r="CV63" i="2"/>
  <c r="CU63" i="2"/>
  <c r="CT63" i="2"/>
  <c r="CS63" i="2"/>
  <c r="CR63" i="2"/>
  <c r="DD56" i="2"/>
  <c r="DC56" i="2"/>
  <c r="DB56" i="2"/>
  <c r="DA56" i="2"/>
  <c r="CZ56" i="2"/>
  <c r="CY56" i="2"/>
  <c r="CX56" i="2"/>
  <c r="CW56" i="2"/>
  <c r="CV56" i="2"/>
  <c r="CU56" i="2"/>
  <c r="CT56" i="2"/>
  <c r="CS56" i="2"/>
  <c r="CR56" i="2"/>
  <c r="DD59" i="2"/>
  <c r="DC59" i="2"/>
  <c r="DB59" i="2"/>
  <c r="DA59" i="2"/>
  <c r="CZ59" i="2"/>
  <c r="CY59" i="2"/>
  <c r="CX59" i="2"/>
  <c r="CW59" i="2"/>
  <c r="CV59" i="2"/>
  <c r="CU59" i="2"/>
  <c r="CT59" i="2"/>
  <c r="CS59" i="2"/>
  <c r="CR59" i="2"/>
  <c r="DD58" i="2"/>
  <c r="DC58" i="2"/>
  <c r="DB58" i="2"/>
  <c r="DA58" i="2"/>
  <c r="CZ58" i="2"/>
  <c r="CY58" i="2"/>
  <c r="CX58" i="2"/>
  <c r="CW58" i="2"/>
  <c r="CV58" i="2"/>
  <c r="CU58" i="2"/>
  <c r="CT58" i="2"/>
  <c r="CS58" i="2"/>
  <c r="CR58" i="2"/>
  <c r="DD61" i="2"/>
  <c r="DC61" i="2"/>
  <c r="DB61" i="2"/>
  <c r="DA61" i="2"/>
  <c r="CZ61" i="2"/>
  <c r="CY61" i="2"/>
  <c r="CX61" i="2"/>
  <c r="CW61" i="2"/>
  <c r="CV61" i="2"/>
  <c r="CU61" i="2"/>
  <c r="CT61" i="2"/>
  <c r="CS61" i="2"/>
  <c r="CR61" i="2"/>
  <c r="DD60" i="2"/>
  <c r="DC60" i="2"/>
  <c r="DB60" i="2"/>
  <c r="DA60" i="2"/>
  <c r="CZ60" i="2"/>
  <c r="CY60" i="2"/>
  <c r="CX60" i="2"/>
  <c r="CW60" i="2"/>
  <c r="CV60" i="2"/>
  <c r="CU60" i="2"/>
  <c r="CT60" i="2"/>
  <c r="CS60" i="2"/>
  <c r="CR60" i="2"/>
  <c r="DD57" i="2"/>
  <c r="DC57" i="2"/>
  <c r="DB57" i="2"/>
  <c r="DA57" i="2"/>
  <c r="CZ57" i="2"/>
  <c r="CY57" i="2"/>
  <c r="CX57" i="2"/>
  <c r="CW57" i="2"/>
  <c r="CV57" i="2"/>
  <c r="CU57" i="2"/>
  <c r="CT57" i="2"/>
  <c r="CS57" i="2"/>
  <c r="CR57" i="2"/>
  <c r="DD85" i="2"/>
  <c r="DC85" i="2"/>
  <c r="DB85" i="2"/>
  <c r="DA85" i="2"/>
  <c r="CZ85" i="2"/>
  <c r="CY85" i="2"/>
  <c r="CX85" i="2"/>
  <c r="CW85" i="2"/>
  <c r="CV85" i="2"/>
  <c r="CU85" i="2"/>
  <c r="CT85" i="2"/>
  <c r="CS85" i="2"/>
  <c r="CW66" i="2"/>
  <c r="Q2" i="17"/>
  <c r="C82" i="9"/>
  <c r="DM67" i="2"/>
  <c r="DN67" i="2"/>
  <c r="DO67" i="2"/>
  <c r="DP67" i="2"/>
  <c r="DJ67" i="2"/>
  <c r="DK67" i="2"/>
  <c r="DL67" i="2"/>
  <c r="CU66" i="2"/>
  <c r="CV66" i="2"/>
  <c r="DB66" i="2"/>
  <c r="CX66" i="2"/>
  <c r="DA66" i="2"/>
  <c r="DC66" i="2"/>
  <c r="CX67" i="2"/>
  <c r="DD66" i="2"/>
  <c r="CY67" i="2"/>
  <c r="CR67" i="2"/>
  <c r="CZ67" i="2"/>
  <c r="DA67" i="2"/>
  <c r="CY66" i="2"/>
  <c r="DB67" i="2"/>
  <c r="CR66" i="2"/>
  <c r="CZ66" i="2"/>
  <c r="CU67" i="2"/>
  <c r="DC67" i="2"/>
  <c r="CV67" i="2"/>
  <c r="DD67" i="2"/>
  <c r="CW67" i="2"/>
  <c r="N74" i="9"/>
  <c r="N70" i="9"/>
  <c r="N66" i="9"/>
  <c r="G67" i="9"/>
  <c r="N61" i="9"/>
  <c r="N60" i="9"/>
  <c r="K61" i="9"/>
  <c r="K60" i="9"/>
  <c r="G61" i="9"/>
  <c r="G60" i="9"/>
  <c r="E60" i="9"/>
  <c r="C60" i="9"/>
  <c r="M57" i="9"/>
  <c r="O57" i="9"/>
  <c r="I57" i="9"/>
  <c r="F57" i="9"/>
  <c r="O55" i="9"/>
  <c r="F55" i="9"/>
  <c r="F53" i="9"/>
  <c r="K13" i="17"/>
  <c r="L13" i="17"/>
  <c r="M13" i="17"/>
  <c r="N13" i="17"/>
  <c r="O13" i="17"/>
  <c r="K14" i="17"/>
  <c r="L14" i="17"/>
  <c r="M14" i="17"/>
  <c r="N14" i="17"/>
  <c r="O14" i="17"/>
  <c r="K21" i="17"/>
  <c r="L21" i="17"/>
  <c r="M21" i="17"/>
  <c r="N21" i="17"/>
  <c r="O21" i="17"/>
  <c r="K23" i="17"/>
  <c r="O23" i="17"/>
  <c r="K12" i="17"/>
  <c r="M5" i="17"/>
  <c r="M23" i="17"/>
  <c r="P61" i="9"/>
  <c r="O61" i="9"/>
  <c r="M61" i="9"/>
  <c r="L61" i="9"/>
  <c r="J61" i="9"/>
  <c r="I61" i="9"/>
  <c r="H61" i="9"/>
  <c r="F61" i="9"/>
  <c r="E61" i="9"/>
  <c r="D61" i="9"/>
  <c r="C61" i="9"/>
  <c r="P60" i="9"/>
  <c r="O60" i="9"/>
  <c r="M60" i="9"/>
  <c r="L60" i="9"/>
  <c r="J60" i="9"/>
  <c r="I60" i="9"/>
  <c r="H60" i="9"/>
  <c r="F60" i="9"/>
  <c r="D60" i="9"/>
  <c r="M15" i="17"/>
  <c r="D2" i="17"/>
  <c r="M10" i="17"/>
  <c r="D10" i="17"/>
  <c r="M19" i="17"/>
  <c r="M20" i="17"/>
  <c r="M7" i="17"/>
  <c r="M17" i="17"/>
  <c r="D12" i="17"/>
  <c r="M12" i="17"/>
  <c r="N7" i="17" l="1"/>
  <c r="D7" i="17"/>
  <c r="K15" i="17"/>
  <c r="M18" i="17"/>
  <c r="K18" i="17"/>
  <c r="L15" i="17"/>
  <c r="N15" i="17"/>
  <c r="D17" i="17"/>
  <c r="K16" i="17"/>
  <c r="H75" i="9"/>
  <c r="M11" i="17"/>
  <c r="D26" i="17"/>
  <c r="B12" i="17"/>
  <c r="L6" i="17"/>
  <c r="E2" i="17"/>
  <c r="E25" i="17"/>
  <c r="L18" i="17"/>
  <c r="O18" i="17"/>
  <c r="K20" i="17"/>
  <c r="N4" i="17"/>
  <c r="M3" i="17"/>
  <c r="M8" i="17"/>
  <c r="D6" i="17"/>
  <c r="M16" i="17"/>
  <c r="B16" i="17"/>
  <c r="N20" i="17"/>
  <c r="F26" i="17"/>
  <c r="C11" i="17"/>
  <c r="L12" i="17"/>
  <c r="K4" i="17"/>
  <c r="K7" i="17"/>
  <c r="L16" i="17"/>
  <c r="B6" i="17"/>
  <c r="E7" i="17"/>
  <c r="L20" i="17"/>
  <c r="B19" i="17"/>
  <c r="N22" i="17"/>
  <c r="L11" i="17"/>
  <c r="N12" i="17"/>
  <c r="L4" i="17"/>
  <c r="O12" i="17"/>
  <c r="AD94" i="9"/>
  <c r="AD92" i="18"/>
  <c r="AD88" i="18"/>
  <c r="D78" i="17"/>
  <c r="AB74" i="9" s="1"/>
  <c r="F6" i="17"/>
  <c r="C5" i="17"/>
  <c r="B10" i="17"/>
  <c r="E4" i="17"/>
  <c r="M4" i="17"/>
  <c r="O8" i="17"/>
  <c r="E10" i="17"/>
  <c r="C26" i="17"/>
  <c r="F12" i="17"/>
  <c r="F10" i="17"/>
  <c r="B26" i="17"/>
  <c r="C6" i="17"/>
  <c r="E12" i="17"/>
  <c r="AD80" i="9"/>
  <c r="N18" i="17"/>
  <c r="L22" i="17"/>
  <c r="AD78" i="18"/>
  <c r="N3" i="17"/>
  <c r="O16" i="17"/>
  <c r="O20" i="17"/>
  <c r="L9" i="17"/>
  <c r="E19" i="17"/>
  <c r="B5" i="17"/>
  <c r="B2" i="17"/>
  <c r="K6" i="17"/>
  <c r="D8" i="17"/>
  <c r="B7" i="17"/>
  <c r="C25" i="17"/>
  <c r="D19" i="17"/>
  <c r="D18" i="17"/>
  <c r="D3" i="17"/>
  <c r="D24" i="17"/>
  <c r="M22" i="17"/>
  <c r="O22" i="17"/>
  <c r="N16" i="17"/>
  <c r="O15" i="17"/>
  <c r="D109" i="17"/>
  <c r="AB105" i="9" s="1"/>
  <c r="C3" i="17"/>
  <c r="C4" i="17"/>
  <c r="C7" i="17"/>
  <c r="L19" i="17"/>
  <c r="N8" i="17"/>
  <c r="L8" i="17"/>
  <c r="N9" i="17"/>
  <c r="K9" i="17"/>
  <c r="O9" i="17"/>
  <c r="B18" i="17"/>
  <c r="N11" i="17"/>
  <c r="K11" i="17"/>
  <c r="F11" i="17"/>
  <c r="C12" i="17"/>
  <c r="E16" i="17"/>
  <c r="B4" i="17"/>
  <c r="O4" i="17"/>
  <c r="K8" i="17"/>
  <c r="O7" i="17"/>
  <c r="AD92" i="9"/>
  <c r="O3" i="17"/>
  <c r="E3" i="17"/>
  <c r="C19" i="17"/>
  <c r="AD101" i="9"/>
  <c r="D76" i="17"/>
  <c r="AB72" i="9" s="1"/>
  <c r="AD105" i="9"/>
  <c r="B23" i="17"/>
  <c r="B24" i="17"/>
  <c r="C17" i="17"/>
  <c r="C18" i="17"/>
  <c r="F19" i="17"/>
  <c r="E23" i="17"/>
  <c r="D86" i="17"/>
  <c r="AB82" i="9" s="1"/>
  <c r="F16" i="17"/>
  <c r="K19" i="17"/>
  <c r="F5" i="17"/>
  <c r="AD99" i="18"/>
  <c r="D115" i="17"/>
  <c r="AB111" i="9" s="1"/>
  <c r="D84" i="17"/>
  <c r="AB80" i="9" s="1"/>
  <c r="B3" i="17"/>
  <c r="N6" i="17"/>
  <c r="C10" i="17"/>
  <c r="AD94" i="18"/>
  <c r="F8" i="17"/>
  <c r="AD78" i="9"/>
  <c r="AB86" i="18" a="1"/>
  <c r="AB86" i="18" s="1"/>
  <c r="D4" i="17"/>
  <c r="L3" i="17"/>
  <c r="B25" i="17"/>
  <c r="AD86" i="9"/>
  <c r="AD90" i="9"/>
  <c r="AD111" i="18"/>
  <c r="AD103" i="18"/>
  <c r="AD82" i="9"/>
  <c r="M6" i="17"/>
  <c r="F7" i="17"/>
  <c r="D25" i="17"/>
  <c r="L7" i="17"/>
  <c r="F3" i="17"/>
  <c r="K3" i="17"/>
  <c r="N19" i="17"/>
  <c r="O19" i="17"/>
  <c r="O11" i="17"/>
  <c r="E17" i="17"/>
  <c r="N23" i="17"/>
  <c r="AD103" i="9"/>
  <c r="C8" i="17"/>
  <c r="F23" i="17"/>
  <c r="D5" i="17"/>
  <c r="K22" i="17"/>
  <c r="B8" i="17"/>
  <c r="F4" i="17"/>
  <c r="C9" i="17"/>
  <c r="E9" i="17"/>
  <c r="B17" i="17"/>
  <c r="L23" i="17"/>
  <c r="AD86" i="18"/>
  <c r="AB103" i="18" a="1"/>
  <c r="AB103" i="18" s="1"/>
  <c r="D90" i="17"/>
  <c r="AB86" i="9" s="1"/>
  <c r="D82" i="17"/>
  <c r="AB78" i="9" s="1"/>
  <c r="AB105" i="18" a="1"/>
  <c r="AB105" i="18" s="1"/>
  <c r="B9" i="17"/>
  <c r="E11" i="17"/>
  <c r="E18" i="17"/>
  <c r="E24" i="17"/>
  <c r="AD111" i="9"/>
  <c r="A40" i="17" s="1"/>
  <c r="D94" i="17"/>
  <c r="AB90" i="9" s="1"/>
  <c r="AB111" i="18" a="1"/>
  <c r="AB111" i="18" s="1"/>
  <c r="E5" i="17"/>
  <c r="E8" i="17"/>
  <c r="E6" i="17"/>
  <c r="F9" i="17"/>
  <c r="B11" i="17"/>
  <c r="AD105" i="18"/>
  <c r="D80" i="17"/>
  <c r="AB76" i="9" s="1"/>
  <c r="AD88" i="9"/>
  <c r="AD80" i="18"/>
  <c r="D16" i="17"/>
  <c r="D11" i="17"/>
  <c r="O2" i="17"/>
  <c r="E26" i="17"/>
  <c r="AD109" i="18"/>
  <c r="AD72" i="9"/>
  <c r="C24" i="17"/>
  <c r="AD101" i="18"/>
  <c r="G75" i="18"/>
  <c r="L77" i="18"/>
  <c r="AB80" i="18" a="1"/>
  <c r="AB80" i="18" s="1"/>
  <c r="F25" i="17"/>
  <c r="F24" i="17"/>
  <c r="AB109" i="18" a="1"/>
  <c r="AB109" i="18" s="1"/>
  <c r="D98" i="17"/>
  <c r="AB94" i="9" s="1"/>
  <c r="AD74" i="9"/>
  <c r="D96" i="17"/>
  <c r="AB92" i="9" s="1"/>
  <c r="D92" i="17"/>
  <c r="AB88" i="9" s="1"/>
  <c r="D105" i="17"/>
  <c r="AB101" i="9" s="1"/>
  <c r="AB72" i="18" a="1"/>
  <c r="AB72" i="18" s="1"/>
  <c r="D107" i="17"/>
  <c r="AB103" i="9" s="1"/>
  <c r="AB78" i="18" a="1"/>
  <c r="AB78" i="18" s="1"/>
  <c r="AB101" i="18" a="1"/>
  <c r="AB101" i="18" s="1"/>
  <c r="D103" i="17"/>
  <c r="AB99" i="9" s="1"/>
  <c r="AB94" i="18" a="1"/>
  <c r="AB94" i="18" s="1"/>
  <c r="K77" i="18"/>
  <c r="F18" i="17"/>
  <c r="G75" i="9"/>
  <c r="F17" i="17"/>
  <c r="L2" i="17"/>
  <c r="C16" i="17"/>
  <c r="C2" i="17"/>
  <c r="C23" i="17"/>
  <c r="AB99" i="18" a="1"/>
  <c r="AB99" i="18" s="1"/>
  <c r="AB88" i="18" a="1"/>
  <c r="AB88" i="18" s="1"/>
  <c r="D113" i="17"/>
  <c r="AB109" i="9" s="1"/>
  <c r="AB92" i="18" a="1"/>
  <c r="AB92" i="18" s="1"/>
  <c r="H75" i="18"/>
  <c r="M26" i="17" l="1"/>
  <c r="M32" i="17" s="1"/>
  <c r="G25" i="17"/>
  <c r="M25" i="17"/>
  <c r="M31" i="17" s="1"/>
  <c r="G23" i="17"/>
  <c r="O26" i="17"/>
  <c r="O32" i="17" s="1"/>
  <c r="N25" i="17"/>
  <c r="N31" i="17" s="1"/>
  <c r="K26" i="17"/>
  <c r="K32" i="17" s="1"/>
  <c r="G26" i="17"/>
  <c r="D20" i="17"/>
  <c r="N26" i="17"/>
  <c r="N32" i="17" s="1"/>
  <c r="O25" i="17"/>
  <c r="O31" i="17" s="1"/>
  <c r="F20" i="17"/>
  <c r="E20" i="17"/>
  <c r="K25" i="17"/>
  <c r="K31" i="17" s="1"/>
  <c r="G24" i="17"/>
  <c r="A39" i="17"/>
  <c r="L25" i="17"/>
  <c r="L31" i="17" s="1"/>
  <c r="L26" i="17"/>
  <c r="L32" i="17" s="1"/>
  <c r="A38" i="17"/>
  <c r="A37" i="17"/>
  <c r="T57" i="17" l="1"/>
  <c r="W57" i="17" s="1"/>
  <c r="W59" i="17" s="1"/>
  <c r="G27" i="17"/>
  <c r="M57" i="17"/>
  <c r="P57" i="17" s="1"/>
  <c r="P59" i="17" s="1"/>
  <c r="P31" i="17"/>
  <c r="T40" i="17" s="1"/>
  <c r="W40" i="17" s="1"/>
  <c r="W42" i="17" s="1"/>
  <c r="P32" i="17"/>
  <c r="N40" i="17" s="1"/>
  <c r="Q40" i="17" s="1"/>
  <c r="Q42"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yulieth vela</author>
    <author>JennyGoGu</author>
  </authors>
  <commentList>
    <comment ref="C3" authorId="0" shapeId="0" xr:uid="{EBA9DA3C-D87D-4D31-A012-F1407216B442}">
      <text>
        <r>
          <rPr>
            <b/>
            <sz val="9"/>
            <color indexed="81"/>
            <rFont val="Tahoma"/>
            <charset val="1"/>
          </rPr>
          <t>yulieth vela:</t>
        </r>
        <r>
          <rPr>
            <sz val="9"/>
            <color indexed="81"/>
            <rFont val="Tahoma"/>
            <charset val="1"/>
          </rPr>
          <t xml:space="preserve">
CODIGO DE SMART</t>
        </r>
      </text>
    </comment>
    <comment ref="AJ3" authorId="0" shapeId="0" xr:uid="{4312A933-DA4F-45AF-860D-CE7143EBF5A2}">
      <text>
        <r>
          <rPr>
            <b/>
            <sz val="9"/>
            <color indexed="81"/>
            <rFont val="Tahoma"/>
            <charset val="1"/>
          </rPr>
          <t>yulieth vela:</t>
        </r>
        <r>
          <rPr>
            <sz val="9"/>
            <color indexed="81"/>
            <rFont val="Tahoma"/>
            <charset val="1"/>
          </rPr>
          <t xml:space="preserve">
TRANSCRIBIR INFORMACIÓN DEL POA MES A MES 
</t>
        </r>
      </text>
    </comment>
    <comment ref="AP3" authorId="0" shapeId="0" xr:uid="{8B33A205-2ACD-4852-83D7-A430F1BFEF21}">
      <text>
        <r>
          <rPr>
            <b/>
            <sz val="9"/>
            <color indexed="81"/>
            <rFont val="Tahoma"/>
            <charset val="1"/>
          </rPr>
          <t>yulieth vela:</t>
        </r>
        <r>
          <rPr>
            <sz val="9"/>
            <color indexed="81"/>
            <rFont val="Tahoma"/>
            <charset val="1"/>
          </rPr>
          <t xml:space="preserve">
TRANSCRIBIR TODO LO DEL POA MES A MES</t>
        </r>
      </text>
    </comment>
    <comment ref="F4" authorId="1" shapeId="0" xr:uid="{4AE83912-C9C3-4FAA-8229-8F253C52A268}">
      <text>
        <r>
          <rPr>
            <b/>
            <sz val="9"/>
            <color indexed="81"/>
            <rFont val="Tahoma"/>
            <family val="2"/>
          </rPr>
          <t>JennyGoGu:</t>
        </r>
        <r>
          <rPr>
            <sz val="9"/>
            <color indexed="81"/>
            <rFont val="Tahoma"/>
            <family val="2"/>
          </rPr>
          <t xml:space="preserve">
Meta sombrilla, se mide semestral por medio de una encuesta</t>
        </r>
      </text>
    </comment>
    <comment ref="AM4" authorId="1" shapeId="0" xr:uid="{97C9783F-CE84-4E5E-A7BC-8DDF6975D83B}">
      <text>
        <r>
          <rPr>
            <b/>
            <sz val="9"/>
            <color indexed="81"/>
            <rFont val="Tahoma"/>
            <family val="2"/>
          </rPr>
          <t>JennyGoGu:</t>
        </r>
        <r>
          <rPr>
            <sz val="9"/>
            <color indexed="81"/>
            <rFont val="Tahoma"/>
            <family val="2"/>
          </rPr>
          <t xml:space="preserve">
Cada vez que se aplique la encuesta es el valor ejecutado</t>
        </r>
      </text>
    </comment>
    <comment ref="F11" authorId="1" shapeId="0" xr:uid="{2080061C-A7D6-4028-AF76-72A29A8264FF}">
      <text>
        <r>
          <rPr>
            <b/>
            <sz val="9"/>
            <color indexed="81"/>
            <rFont val="Tahoma"/>
            <family val="2"/>
          </rPr>
          <t>5 - Verificar la información de 2.400 Entidades Sin Ánimo de Lucro evaluando el cumplimiento legal y financiero de las mismas. (Dirección Distrital de Inspección, vigilancia y control)</t>
        </r>
      </text>
    </comment>
    <comment ref="H11" authorId="1" shapeId="0" xr:uid="{DCEDB393-336B-42EF-AF35-0A75140F67D4}">
      <text>
        <r>
          <rPr>
            <b/>
            <sz val="9"/>
            <color indexed="81"/>
            <rFont val="Tahoma"/>
            <family val="2"/>
          </rPr>
          <t>JennyGoGu:</t>
        </r>
        <r>
          <rPr>
            <sz val="9"/>
            <color indexed="81"/>
            <rFont val="Tahoma"/>
            <family val="2"/>
          </rPr>
          <t xml:space="preserve">
5 - Verificar la información de 2.400 Entidades Sin Ánimo de Lucro evaluando el cumplimiento legal y financiero de las mismas. (Dirección Distrital de Inspección, vigilancia y control)</t>
        </r>
      </text>
    </comment>
    <comment ref="BA11" authorId="1" shapeId="0" xr:uid="{7A346A80-3092-4955-9DBE-1AC9EBB74AB3}">
      <text>
        <r>
          <rPr>
            <b/>
            <sz val="9"/>
            <color indexed="81"/>
            <rFont val="Tahoma"/>
            <charset val="1"/>
          </rPr>
          <t>JennyGoGu:</t>
        </r>
        <r>
          <rPr>
            <sz val="9"/>
            <color indexed="81"/>
            <rFont val="Tahoma"/>
            <charset val="1"/>
          </rPr>
          <t xml:space="preserve">
Solo se reportó el cambio en el reporte de mayo el 7 de junio</t>
        </r>
      </text>
    </comment>
    <comment ref="H12" authorId="1" shapeId="0" xr:uid="{700E1191-E77C-4F9F-81EF-B7DAB6ADF09C}">
      <text>
        <r>
          <rPr>
            <b/>
            <sz val="9"/>
            <color indexed="81"/>
            <rFont val="Tahoma"/>
            <family val="2"/>
          </rPr>
          <t>4 - Orientar 1.000 Ciudadanos en aspectos jurídicos, financieros y de inspección vigilancia y control de las Entidades Sin Ánimo</t>
        </r>
      </text>
    </comment>
    <comment ref="BB12" authorId="1" shapeId="0" xr:uid="{AC66060A-1C1A-48E5-A1C5-A69A817E8446}">
      <text>
        <r>
          <rPr>
            <b/>
            <sz val="9"/>
            <color indexed="81"/>
            <rFont val="Tahoma"/>
            <charset val="1"/>
          </rPr>
          <t>JennyGoGu:</t>
        </r>
        <r>
          <rPr>
            <sz val="9"/>
            <color indexed="81"/>
            <rFont val="Tahoma"/>
            <charset val="1"/>
          </rPr>
          <t xml:space="preserve">
Estos 4 cambios se reportaron en el reporte de mayo en junio</t>
        </r>
      </text>
    </comment>
    <comment ref="F13" authorId="1" shapeId="0" xr:uid="{E363A5B4-806A-4F69-B49F-3D494DEF0C11}">
      <text>
        <r>
          <rPr>
            <b/>
            <sz val="9"/>
            <color indexed="81"/>
            <rFont val="Tahoma"/>
            <family val="2"/>
          </rPr>
          <t xml:space="preserve">6 - Formular 1 Directriz encaminada a la prevención de faltas disciplinarias. </t>
        </r>
      </text>
    </comment>
    <comment ref="F14" authorId="1" shapeId="0" xr:uid="{72E75386-1513-4EF5-8296-3426AB6F017D}">
      <text>
        <r>
          <rPr>
            <b/>
            <sz val="9"/>
            <color indexed="81"/>
            <rFont val="Tahoma"/>
            <family val="2"/>
          </rPr>
          <t>JennyGoGu:</t>
        </r>
        <r>
          <rPr>
            <sz val="9"/>
            <color indexed="81"/>
            <rFont val="Tahoma"/>
            <family val="2"/>
          </rPr>
          <t xml:space="preserve">
Orientación en materia de prevención de conductas disciplinables</t>
        </r>
      </text>
    </comment>
    <comment ref="F18" authorId="1" shapeId="0" xr:uid="{DD4B8B1A-1BB3-48AA-9323-D212B10FB8F4}">
      <text>
        <r>
          <rPr>
            <b/>
            <sz val="9"/>
            <color indexed="81"/>
            <rFont val="Tahoma"/>
            <family val="2"/>
          </rPr>
          <t>JennyGoGu:</t>
        </r>
        <r>
          <rPr>
            <sz val="9"/>
            <color indexed="81"/>
            <rFont val="Tahoma"/>
            <family val="2"/>
          </rPr>
          <t xml:space="preserve">
7608</t>
        </r>
      </text>
    </comment>
    <comment ref="F22" authorId="1" shapeId="0" xr:uid="{26CE2989-D326-4009-A45F-1F45AAC95BF2}">
      <text>
        <r>
          <rPr>
            <b/>
            <sz val="9"/>
            <color indexed="81"/>
            <rFont val="Tahoma"/>
            <family val="2"/>
          </rPr>
          <t>JennyGoGu:</t>
        </r>
        <r>
          <rPr>
            <sz val="9"/>
            <color indexed="81"/>
            <rFont val="Tahoma"/>
            <family val="2"/>
          </rPr>
          <t xml:space="preserve">
7632</t>
        </r>
      </text>
    </comment>
    <comment ref="A27" authorId="1" shapeId="0" xr:uid="{75237C8C-F634-4DC3-BA0D-3DF3842D48C0}">
      <text>
        <r>
          <rPr>
            <b/>
            <sz val="9"/>
            <color indexed="81"/>
            <rFont val="Tahoma"/>
            <family val="2"/>
          </rPr>
          <t>JennyGoGu:</t>
        </r>
        <r>
          <rPr>
            <sz val="9"/>
            <color indexed="81"/>
            <rFont val="Tahoma"/>
            <family val="2"/>
          </rPr>
          <t xml:space="preserve">
Nuevos 2023</t>
        </r>
      </text>
    </comment>
    <comment ref="A28" authorId="1" shapeId="0" xr:uid="{71DEF285-96E1-49F5-BFEE-C722176B02F8}">
      <text>
        <r>
          <rPr>
            <b/>
            <sz val="9"/>
            <color indexed="81"/>
            <rFont val="Tahoma"/>
            <family val="2"/>
          </rPr>
          <t>JennyGoGu:</t>
        </r>
        <r>
          <rPr>
            <sz val="9"/>
            <color indexed="81"/>
            <rFont val="Tahoma"/>
            <family val="2"/>
          </rPr>
          <t xml:space="preserve">
Nuevos 2023</t>
        </r>
      </text>
    </comment>
    <comment ref="A40" authorId="1" shapeId="0" xr:uid="{7319FC2A-04E8-4E8A-AE87-F102AC0C4BF2}">
      <text>
        <r>
          <rPr>
            <b/>
            <sz val="9"/>
            <color indexed="81"/>
            <rFont val="Tahoma"/>
            <family val="2"/>
          </rPr>
          <t>JennyGoGu:</t>
        </r>
        <r>
          <rPr>
            <sz val="9"/>
            <color indexed="81"/>
            <rFont val="Tahoma"/>
            <family val="2"/>
          </rPr>
          <t xml:space="preserve">
Nuevos 2023</t>
        </r>
      </text>
    </comment>
    <comment ref="AM54" authorId="1" shapeId="0" xr:uid="{5B1E2E5C-B9D5-452A-BE66-F5AAD47A87B0}">
      <text>
        <r>
          <rPr>
            <b/>
            <sz val="9"/>
            <color indexed="81"/>
            <rFont val="Tahoma"/>
            <family val="2"/>
          </rPr>
          <t>JennyGoGu:</t>
        </r>
        <r>
          <rPr>
            <sz val="9"/>
            <color indexed="81"/>
            <rFont val="Tahoma"/>
            <family val="2"/>
          </rPr>
          <t xml:space="preserve">
Viene del indicador anterior</t>
        </r>
      </text>
    </comment>
    <comment ref="AG66" authorId="1" shapeId="0" xr:uid="{72050247-5E8F-4B7D-8B2F-6A83BE83A3C8}">
      <text>
        <r>
          <rPr>
            <b/>
            <sz val="9"/>
            <color indexed="81"/>
            <rFont val="Tahoma"/>
            <family val="2"/>
          </rPr>
          <t>JennyGoGu:</t>
        </r>
        <r>
          <rPr>
            <sz val="9"/>
            <color indexed="81"/>
            <rFont val="Tahoma"/>
            <family val="2"/>
          </rPr>
          <t xml:space="preserve">
1783,47</t>
        </r>
      </text>
    </comment>
    <comment ref="AM66" authorId="1" shapeId="0" xr:uid="{89013BF7-6AC9-461E-BF59-8794F8AB1A1C}">
      <text>
        <r>
          <rPr>
            <b/>
            <sz val="9"/>
            <color indexed="81"/>
            <rFont val="Tahoma"/>
            <family val="2"/>
          </rPr>
          <t>JennyGoGu:</t>
        </r>
        <r>
          <rPr>
            <sz val="9"/>
            <color indexed="81"/>
            <rFont val="Tahoma"/>
            <family val="2"/>
          </rPr>
          <t xml:space="preserve">
1376,1</t>
        </r>
      </text>
    </comment>
    <comment ref="F69" authorId="1" shapeId="0" xr:uid="{B3B83162-FF1B-495C-B0FB-FA0E4E99A483}">
      <text>
        <r>
          <rPr>
            <b/>
            <sz val="9"/>
            <color indexed="81"/>
            <rFont val="Tahoma"/>
            <family val="2"/>
          </rPr>
          <t>JennyGoGu:</t>
        </r>
        <r>
          <rPr>
            <sz val="9"/>
            <color indexed="81"/>
            <rFont val="Tahoma"/>
            <family val="2"/>
          </rPr>
          <t xml:space="preserve">
7608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JennyGoGu</author>
  </authors>
  <commentList>
    <comment ref="B3" authorId="0" shapeId="0" xr:uid="{4EEEA7CE-0CCB-47D0-B5F9-EE39020143F4}">
      <text>
        <r>
          <rPr>
            <b/>
            <sz val="9"/>
            <color indexed="81"/>
            <rFont val="Tahoma"/>
            <family val="2"/>
          </rPr>
          <t>JennyGoGu:</t>
        </r>
        <r>
          <rPr>
            <sz val="9"/>
            <color indexed="81"/>
            <rFont val="Tahoma"/>
            <family val="2"/>
          </rPr>
          <t xml:space="preserve">
Los grises son los constantes</t>
        </r>
      </text>
    </comment>
    <comment ref="S3" authorId="0" shapeId="0" xr:uid="{CBC9DB68-7540-4BFD-94E9-EB0999E70E6A}">
      <text>
        <r>
          <rPr>
            <b/>
            <sz val="9"/>
            <color indexed="81"/>
            <rFont val="Tahoma"/>
            <family val="2"/>
          </rPr>
          <t>JennyGoGu:</t>
        </r>
        <r>
          <rPr>
            <sz val="9"/>
            <color indexed="81"/>
            <rFont val="Tahoma"/>
            <family val="2"/>
          </rPr>
          <t xml:space="preserve">
Programado periodo</t>
        </r>
      </text>
    </comment>
    <comment ref="T3" authorId="0" shapeId="0" xr:uid="{CEE89726-B558-4869-8AC1-B2E826238975}">
      <text>
        <r>
          <rPr>
            <b/>
            <sz val="9"/>
            <color indexed="81"/>
            <rFont val="Tahoma"/>
            <family val="2"/>
          </rPr>
          <t>JennyGoGu:</t>
        </r>
        <r>
          <rPr>
            <sz val="9"/>
            <color indexed="81"/>
            <rFont val="Tahoma"/>
            <family val="2"/>
          </rPr>
          <t xml:space="preserve">
Anual</t>
        </r>
      </text>
    </comment>
    <comment ref="U3" authorId="0" shapeId="0" xr:uid="{2219539A-B073-4E5F-9727-8621086C746F}">
      <text>
        <r>
          <rPr>
            <b/>
            <sz val="9"/>
            <color indexed="81"/>
            <rFont val="Tahoma"/>
            <family val="2"/>
          </rPr>
          <t>JennyGoGu:</t>
        </r>
        <r>
          <rPr>
            <sz val="9"/>
            <color indexed="81"/>
            <rFont val="Tahoma"/>
            <family val="2"/>
          </rPr>
          <t xml:space="preserve">
Periodo</t>
        </r>
      </text>
    </comment>
    <comment ref="V3" authorId="0" shapeId="0" xr:uid="{A59819C9-7FB3-455A-8632-AA7A49FAF370}">
      <text>
        <r>
          <rPr>
            <b/>
            <sz val="9"/>
            <color indexed="81"/>
            <rFont val="Tahoma"/>
            <family val="2"/>
          </rPr>
          <t>JennyGoGu:</t>
        </r>
        <r>
          <rPr>
            <sz val="9"/>
            <color indexed="81"/>
            <rFont val="Tahoma"/>
            <family val="2"/>
          </rPr>
          <t xml:space="preserve">
Anual</t>
        </r>
      </text>
    </comment>
    <comment ref="W3" authorId="0" shapeId="0" xr:uid="{DF960D25-496D-4F7C-94BC-85EC417833B5}">
      <text>
        <r>
          <rPr>
            <b/>
            <sz val="9"/>
            <color indexed="81"/>
            <rFont val="Tahoma"/>
            <family val="2"/>
          </rPr>
          <t>JennyGoGu:</t>
        </r>
        <r>
          <rPr>
            <sz val="9"/>
            <color indexed="81"/>
            <rFont val="Tahoma"/>
            <family val="2"/>
          </rPr>
          <t xml:space="preserve">
Programado periodo</t>
        </r>
      </text>
    </comment>
    <comment ref="X3" authorId="0" shapeId="0" xr:uid="{B4E2357E-5598-4592-87DD-CE637B117BAA}">
      <text>
        <r>
          <rPr>
            <b/>
            <sz val="9"/>
            <color indexed="81"/>
            <rFont val="Tahoma"/>
            <family val="2"/>
          </rPr>
          <t>JennyGoGu:</t>
        </r>
        <r>
          <rPr>
            <sz val="9"/>
            <color indexed="81"/>
            <rFont val="Tahoma"/>
            <family val="2"/>
          </rPr>
          <t xml:space="preserve">
Anual</t>
        </r>
      </text>
    </comment>
    <comment ref="Y3" authorId="0" shapeId="0" xr:uid="{897AD7C6-1982-4737-9103-25E608955B8A}">
      <text>
        <r>
          <rPr>
            <b/>
            <sz val="9"/>
            <color indexed="81"/>
            <rFont val="Tahoma"/>
            <family val="2"/>
          </rPr>
          <t>JennyGoGu:</t>
        </r>
        <r>
          <rPr>
            <sz val="9"/>
            <color indexed="81"/>
            <rFont val="Tahoma"/>
            <family val="2"/>
          </rPr>
          <t xml:space="preserve">
Periodo</t>
        </r>
      </text>
    </comment>
    <comment ref="Z3" authorId="0" shapeId="0" xr:uid="{E208EAE4-92A5-4AAA-B189-B62128AF9600}">
      <text>
        <r>
          <rPr>
            <b/>
            <sz val="9"/>
            <color indexed="81"/>
            <rFont val="Tahoma"/>
            <family val="2"/>
          </rPr>
          <t>JennyGoGu:</t>
        </r>
        <r>
          <rPr>
            <sz val="9"/>
            <color indexed="81"/>
            <rFont val="Tahoma"/>
            <family val="2"/>
          </rPr>
          <t xml:space="preserve">
Anual</t>
        </r>
      </text>
    </comment>
    <comment ref="AA3" authorId="0" shapeId="0" xr:uid="{56DFCD9D-9F2B-4841-9557-E7C9BC645AE3}">
      <text>
        <r>
          <rPr>
            <b/>
            <sz val="9"/>
            <color indexed="81"/>
            <rFont val="Tahoma"/>
            <family val="2"/>
          </rPr>
          <t>JennyGoGu:</t>
        </r>
        <r>
          <rPr>
            <sz val="9"/>
            <color indexed="81"/>
            <rFont val="Tahoma"/>
            <family val="2"/>
          </rPr>
          <t xml:space="preserve">
Programado periodo</t>
        </r>
      </text>
    </comment>
    <comment ref="AB3" authorId="0" shapeId="0" xr:uid="{583EFF40-0E78-41DC-B8DD-6A081F4AD969}">
      <text>
        <r>
          <rPr>
            <b/>
            <sz val="9"/>
            <color indexed="81"/>
            <rFont val="Tahoma"/>
            <family val="2"/>
          </rPr>
          <t>JennyGoGu:</t>
        </r>
        <r>
          <rPr>
            <sz val="9"/>
            <color indexed="81"/>
            <rFont val="Tahoma"/>
            <family val="2"/>
          </rPr>
          <t xml:space="preserve">
Anual</t>
        </r>
      </text>
    </comment>
    <comment ref="AC3" authorId="0" shapeId="0" xr:uid="{CEBEA22D-8BB8-4F19-80D5-F58B8FEFF040}">
      <text>
        <r>
          <rPr>
            <b/>
            <sz val="9"/>
            <color indexed="81"/>
            <rFont val="Tahoma"/>
            <family val="2"/>
          </rPr>
          <t>JennyGoGu:</t>
        </r>
        <r>
          <rPr>
            <sz val="9"/>
            <color indexed="81"/>
            <rFont val="Tahoma"/>
            <family val="2"/>
          </rPr>
          <t xml:space="preserve">
Periodo</t>
        </r>
      </text>
    </comment>
    <comment ref="AD3" authorId="0" shapeId="0" xr:uid="{B64192F9-44E5-4EDA-982D-16B5E902C4CB}">
      <text>
        <r>
          <rPr>
            <b/>
            <sz val="9"/>
            <color indexed="81"/>
            <rFont val="Tahoma"/>
            <family val="2"/>
          </rPr>
          <t>JennyGoGu:</t>
        </r>
        <r>
          <rPr>
            <sz val="9"/>
            <color indexed="81"/>
            <rFont val="Tahoma"/>
            <family val="2"/>
          </rPr>
          <t xml:space="preserve">
Anual</t>
        </r>
      </text>
    </comment>
    <comment ref="AE3" authorId="0" shapeId="0" xr:uid="{9F3CB980-C47B-4877-BA19-F8751F330377}">
      <text>
        <r>
          <rPr>
            <b/>
            <sz val="9"/>
            <color indexed="81"/>
            <rFont val="Tahoma"/>
            <family val="2"/>
          </rPr>
          <t>JennyGoGu:</t>
        </r>
        <r>
          <rPr>
            <sz val="9"/>
            <color indexed="81"/>
            <rFont val="Tahoma"/>
            <family val="2"/>
          </rPr>
          <t xml:space="preserve">
Programado periodo</t>
        </r>
      </text>
    </comment>
    <comment ref="AF3" authorId="0" shapeId="0" xr:uid="{21277FB3-870C-4CA5-A7DC-E20A9666E69B}">
      <text>
        <r>
          <rPr>
            <b/>
            <sz val="9"/>
            <color indexed="81"/>
            <rFont val="Tahoma"/>
            <family val="2"/>
          </rPr>
          <t>JennyGoGu:</t>
        </r>
        <r>
          <rPr>
            <sz val="9"/>
            <color indexed="81"/>
            <rFont val="Tahoma"/>
            <family val="2"/>
          </rPr>
          <t xml:space="preserve">
Anual</t>
        </r>
      </text>
    </comment>
    <comment ref="AG3" authorId="0" shapeId="0" xr:uid="{0EB6FD56-1722-409A-ABAD-08A98302E0D4}">
      <text>
        <r>
          <rPr>
            <b/>
            <sz val="9"/>
            <color indexed="81"/>
            <rFont val="Tahoma"/>
            <family val="2"/>
          </rPr>
          <t>JennyGoGu:</t>
        </r>
        <r>
          <rPr>
            <sz val="9"/>
            <color indexed="81"/>
            <rFont val="Tahoma"/>
            <family val="2"/>
          </rPr>
          <t xml:space="preserve">
Periodo</t>
        </r>
      </text>
    </comment>
    <comment ref="AH3" authorId="0" shapeId="0" xr:uid="{DEB870AA-ADA1-4BB1-8127-44A2673A6585}">
      <text>
        <r>
          <rPr>
            <b/>
            <sz val="9"/>
            <color indexed="81"/>
            <rFont val="Tahoma"/>
            <family val="2"/>
          </rPr>
          <t>JennyGoGu:</t>
        </r>
        <r>
          <rPr>
            <sz val="9"/>
            <color indexed="81"/>
            <rFont val="Tahoma"/>
            <family val="2"/>
          </rPr>
          <t xml:space="preserve">
Anual</t>
        </r>
      </text>
    </comment>
    <comment ref="AI3" authorId="0" shapeId="0" xr:uid="{7CCE4603-13FA-4283-BA18-4FF20FFF09CD}">
      <text>
        <r>
          <rPr>
            <b/>
            <sz val="9"/>
            <color indexed="81"/>
            <rFont val="Tahoma"/>
            <family val="2"/>
          </rPr>
          <t>JennyGoGu:</t>
        </r>
        <r>
          <rPr>
            <sz val="9"/>
            <color indexed="81"/>
            <rFont val="Tahoma"/>
            <family val="2"/>
          </rPr>
          <t xml:space="preserve">
Programado periodo</t>
        </r>
      </text>
    </comment>
    <comment ref="AJ3" authorId="0" shapeId="0" xr:uid="{62A24099-6169-4A6B-9B7A-653CA58A344D}">
      <text>
        <r>
          <rPr>
            <b/>
            <sz val="9"/>
            <color indexed="81"/>
            <rFont val="Tahoma"/>
            <family val="2"/>
          </rPr>
          <t>JennyGoGu:</t>
        </r>
        <r>
          <rPr>
            <sz val="9"/>
            <color indexed="81"/>
            <rFont val="Tahoma"/>
            <family val="2"/>
          </rPr>
          <t xml:space="preserve">
Anual</t>
        </r>
      </text>
    </comment>
    <comment ref="AK3" authorId="0" shapeId="0" xr:uid="{3216AB94-7345-4D91-932E-BF837519681A}">
      <text>
        <r>
          <rPr>
            <b/>
            <sz val="9"/>
            <color indexed="81"/>
            <rFont val="Tahoma"/>
            <family val="2"/>
          </rPr>
          <t>JennyGoGu:</t>
        </r>
        <r>
          <rPr>
            <sz val="9"/>
            <color indexed="81"/>
            <rFont val="Tahoma"/>
            <family val="2"/>
          </rPr>
          <t xml:space="preserve">
Periodo</t>
        </r>
      </text>
    </comment>
    <comment ref="AL3" authorId="0" shapeId="0" xr:uid="{C8C29DD1-CC75-4DBA-9BD2-0EA55BBD899D}">
      <text>
        <r>
          <rPr>
            <b/>
            <sz val="9"/>
            <color indexed="81"/>
            <rFont val="Tahoma"/>
            <family val="2"/>
          </rPr>
          <t>JennyGoGu:</t>
        </r>
        <r>
          <rPr>
            <sz val="9"/>
            <color indexed="81"/>
            <rFont val="Tahoma"/>
            <family val="2"/>
          </rPr>
          <t xml:space="preserve">
Anual</t>
        </r>
      </text>
    </comment>
    <comment ref="AM3" authorId="0" shapeId="0" xr:uid="{5261BA66-84EA-416B-AC74-1FEF2B06537D}">
      <text>
        <r>
          <rPr>
            <b/>
            <sz val="9"/>
            <color indexed="81"/>
            <rFont val="Tahoma"/>
            <family val="2"/>
          </rPr>
          <t>JennyGoGu:</t>
        </r>
        <r>
          <rPr>
            <sz val="9"/>
            <color indexed="81"/>
            <rFont val="Tahoma"/>
            <family val="2"/>
          </rPr>
          <t xml:space="preserve">
Programado periodo</t>
        </r>
      </text>
    </comment>
    <comment ref="AN3" authorId="0" shapeId="0" xr:uid="{28F6935B-4E1F-4856-8C44-006CFD4AC6B0}">
      <text>
        <r>
          <rPr>
            <b/>
            <sz val="9"/>
            <color indexed="81"/>
            <rFont val="Tahoma"/>
            <family val="2"/>
          </rPr>
          <t>JennyGoGu:</t>
        </r>
        <r>
          <rPr>
            <sz val="9"/>
            <color indexed="81"/>
            <rFont val="Tahoma"/>
            <family val="2"/>
          </rPr>
          <t xml:space="preserve">
Anual</t>
        </r>
      </text>
    </comment>
    <comment ref="AO3" authorId="0" shapeId="0" xr:uid="{CD9A799C-8E37-4B37-9117-4C99C220011B}">
      <text>
        <r>
          <rPr>
            <b/>
            <sz val="9"/>
            <color indexed="81"/>
            <rFont val="Tahoma"/>
            <family val="2"/>
          </rPr>
          <t>JennyGoGu:</t>
        </r>
        <r>
          <rPr>
            <sz val="9"/>
            <color indexed="81"/>
            <rFont val="Tahoma"/>
            <family val="2"/>
          </rPr>
          <t xml:space="preserve">
Periodo</t>
        </r>
      </text>
    </comment>
    <comment ref="AP3" authorId="0" shapeId="0" xr:uid="{B8C11959-7A4C-4001-ABC8-5C3BB9F8D8D6}">
      <text>
        <r>
          <rPr>
            <b/>
            <sz val="9"/>
            <color indexed="81"/>
            <rFont val="Tahoma"/>
            <family val="2"/>
          </rPr>
          <t>JennyGoGu:</t>
        </r>
        <r>
          <rPr>
            <sz val="9"/>
            <color indexed="81"/>
            <rFont val="Tahoma"/>
            <family val="2"/>
          </rPr>
          <t xml:space="preserve">
Anual</t>
        </r>
      </text>
    </comment>
    <comment ref="AQ3" authorId="0" shapeId="0" xr:uid="{31FEF711-B1DA-49F7-86D1-2931019CE1DC}">
      <text>
        <r>
          <rPr>
            <b/>
            <sz val="9"/>
            <color indexed="81"/>
            <rFont val="Tahoma"/>
            <family val="2"/>
          </rPr>
          <t>JennyGoGu:</t>
        </r>
        <r>
          <rPr>
            <sz val="9"/>
            <color indexed="81"/>
            <rFont val="Tahoma"/>
            <family val="2"/>
          </rPr>
          <t xml:space="preserve">
Programado periodo</t>
        </r>
      </text>
    </comment>
    <comment ref="AR3" authorId="0" shapeId="0" xr:uid="{B6AE0262-17F6-4A49-B7C4-A0E176EC279D}">
      <text>
        <r>
          <rPr>
            <b/>
            <sz val="9"/>
            <color indexed="81"/>
            <rFont val="Tahoma"/>
            <family val="2"/>
          </rPr>
          <t>JennyGoGu:</t>
        </r>
        <r>
          <rPr>
            <sz val="9"/>
            <color indexed="81"/>
            <rFont val="Tahoma"/>
            <family val="2"/>
          </rPr>
          <t xml:space="preserve">
Anual</t>
        </r>
      </text>
    </comment>
    <comment ref="AS3" authorId="0" shapeId="0" xr:uid="{EB8107E8-4DD2-4D83-9547-6A0C307BF7DF}">
      <text>
        <r>
          <rPr>
            <b/>
            <sz val="9"/>
            <color indexed="81"/>
            <rFont val="Tahoma"/>
            <family val="2"/>
          </rPr>
          <t>JennyGoGu:</t>
        </r>
        <r>
          <rPr>
            <sz val="9"/>
            <color indexed="81"/>
            <rFont val="Tahoma"/>
            <family val="2"/>
          </rPr>
          <t xml:space="preserve">
Periodo</t>
        </r>
      </text>
    </comment>
    <comment ref="AT3" authorId="0" shapeId="0" xr:uid="{9030352F-F953-42D7-AF3E-664E0AFD0296}">
      <text>
        <r>
          <rPr>
            <b/>
            <sz val="9"/>
            <color indexed="81"/>
            <rFont val="Tahoma"/>
            <family val="2"/>
          </rPr>
          <t>JennyGoGu:</t>
        </r>
        <r>
          <rPr>
            <sz val="9"/>
            <color indexed="81"/>
            <rFont val="Tahoma"/>
            <family val="2"/>
          </rPr>
          <t xml:space="preserve">
Anual</t>
        </r>
      </text>
    </comment>
    <comment ref="B4" authorId="0" shapeId="0" xr:uid="{41AB7D39-B262-4084-8FCE-BAF1A601CBD9}">
      <text>
        <r>
          <rPr>
            <b/>
            <sz val="9"/>
            <color indexed="81"/>
            <rFont val="Tahoma"/>
            <family val="2"/>
          </rPr>
          <t>JennyGoGu:</t>
        </r>
        <r>
          <rPr>
            <sz val="9"/>
            <color indexed="81"/>
            <rFont val="Tahoma"/>
            <family val="2"/>
          </rPr>
          <t xml:space="preserve">
Meta sombrilla, se mide semestral por medio de una encuesta</t>
        </r>
      </text>
    </comment>
    <comment ref="N4" authorId="0" shapeId="0" xr:uid="{122B580C-46DE-41E7-80CD-BE59E88C5241}">
      <text>
        <r>
          <rPr>
            <b/>
            <sz val="9"/>
            <color indexed="81"/>
            <rFont val="Tahoma"/>
            <family val="2"/>
          </rPr>
          <t>JennyGoGu:</t>
        </r>
        <r>
          <rPr>
            <sz val="9"/>
            <color indexed="81"/>
            <rFont val="Tahoma"/>
            <family val="2"/>
          </rPr>
          <t xml:space="preserve">
Cada vez que se aplique la encuesta es el valor ejecutado</t>
        </r>
      </text>
    </comment>
    <comment ref="R4" authorId="0" shapeId="0" xr:uid="{AD46DF5D-C603-4262-B1A2-EB6C63E95B74}">
      <text>
        <r>
          <rPr>
            <b/>
            <sz val="9"/>
            <color indexed="81"/>
            <rFont val="Tahoma"/>
            <family val="2"/>
          </rPr>
          <t>JennyGoGu:</t>
        </r>
        <r>
          <rPr>
            <sz val="9"/>
            <color indexed="81"/>
            <rFont val="Tahoma"/>
            <family val="2"/>
          </rPr>
          <t xml:space="preserve">
Cada vez que se aplique la encuesta es el valor ejecutado</t>
        </r>
      </text>
    </comment>
    <comment ref="V4" authorId="0" shapeId="0" xr:uid="{E2DA75EE-3F0A-4AAC-B37A-CD58627CFE30}">
      <text>
        <r>
          <rPr>
            <b/>
            <sz val="9"/>
            <color indexed="81"/>
            <rFont val="Tahoma"/>
            <family val="2"/>
          </rPr>
          <t>JennyGoGu:</t>
        </r>
        <r>
          <rPr>
            <sz val="9"/>
            <color indexed="81"/>
            <rFont val="Tahoma"/>
            <family val="2"/>
          </rPr>
          <t xml:space="preserve">
Cada vez que se aplique la encuesta es el valor ejecutado</t>
        </r>
      </text>
    </comment>
    <comment ref="Z4" authorId="0" shapeId="0" xr:uid="{5F06A568-FF5A-4863-9C95-8554348DB683}">
      <text>
        <r>
          <rPr>
            <b/>
            <sz val="9"/>
            <color indexed="81"/>
            <rFont val="Tahoma"/>
            <family val="2"/>
          </rPr>
          <t>JennyGoGu:</t>
        </r>
        <r>
          <rPr>
            <sz val="9"/>
            <color indexed="81"/>
            <rFont val="Tahoma"/>
            <family val="2"/>
          </rPr>
          <t xml:space="preserve">
Cada vez que se aplique la encuesta es el valor ejecutado</t>
        </r>
      </text>
    </comment>
    <comment ref="AD4" authorId="0" shapeId="0" xr:uid="{945B71E5-9AF9-43AD-85C5-E1BF77C63472}">
      <text>
        <r>
          <rPr>
            <b/>
            <sz val="9"/>
            <color indexed="81"/>
            <rFont val="Tahoma"/>
            <family val="2"/>
          </rPr>
          <t>JennyGoGu:</t>
        </r>
        <r>
          <rPr>
            <sz val="9"/>
            <color indexed="81"/>
            <rFont val="Tahoma"/>
            <family val="2"/>
          </rPr>
          <t xml:space="preserve">
Cada vez que se aplique la encuesta es el valor ejecutado</t>
        </r>
      </text>
    </comment>
    <comment ref="AH4" authorId="0" shapeId="0" xr:uid="{F0E3F041-46EC-444E-9611-4F260A515D92}">
      <text>
        <r>
          <rPr>
            <b/>
            <sz val="9"/>
            <color indexed="81"/>
            <rFont val="Tahoma"/>
            <family val="2"/>
          </rPr>
          <t>JennyGoGu:</t>
        </r>
        <r>
          <rPr>
            <sz val="9"/>
            <color indexed="81"/>
            <rFont val="Tahoma"/>
            <family val="2"/>
          </rPr>
          <t xml:space="preserve">
Cada vez que se aplique la encuesta es el valor ejecutado</t>
        </r>
      </text>
    </comment>
    <comment ref="AL4" authorId="0" shapeId="0" xr:uid="{BEC87814-2F19-4C8E-8990-96ADE7DE6EF3}">
      <text>
        <r>
          <rPr>
            <b/>
            <sz val="9"/>
            <color indexed="81"/>
            <rFont val="Tahoma"/>
            <family val="2"/>
          </rPr>
          <t>JennyGoGu:</t>
        </r>
        <r>
          <rPr>
            <sz val="9"/>
            <color indexed="81"/>
            <rFont val="Tahoma"/>
            <family val="2"/>
          </rPr>
          <t xml:space="preserve">
Cada vez que se aplique la encuesta es el valor ejecutado</t>
        </r>
      </text>
    </comment>
    <comment ref="AP4" authorId="0" shapeId="0" xr:uid="{D8A395FE-28D1-48BE-AD80-4CD67C15EE1F}">
      <text>
        <r>
          <rPr>
            <b/>
            <sz val="9"/>
            <color indexed="81"/>
            <rFont val="Tahoma"/>
            <family val="2"/>
          </rPr>
          <t>JennyGoGu:</t>
        </r>
        <r>
          <rPr>
            <sz val="9"/>
            <color indexed="81"/>
            <rFont val="Tahoma"/>
            <family val="2"/>
          </rPr>
          <t xml:space="preserve">
Cada vez que se aplique la encuesta es el valor ejecutado</t>
        </r>
      </text>
    </comment>
    <comment ref="AT4" authorId="0" shapeId="0" xr:uid="{13CD091D-EB20-4393-A221-15D3D81AF099}">
      <text>
        <r>
          <rPr>
            <b/>
            <sz val="9"/>
            <color indexed="81"/>
            <rFont val="Tahoma"/>
            <family val="2"/>
          </rPr>
          <t>JennyGoGu:</t>
        </r>
        <r>
          <rPr>
            <sz val="9"/>
            <color indexed="81"/>
            <rFont val="Tahoma"/>
            <family val="2"/>
          </rPr>
          <t xml:space="preserve">
Cada vez que se aplique la encuesta es el valor ejecutado</t>
        </r>
      </text>
    </comment>
    <comment ref="B11" authorId="0" shapeId="0" xr:uid="{A299E2B2-3E55-4E10-AAB2-AFF5FFCD45CB}">
      <text>
        <r>
          <rPr>
            <b/>
            <sz val="9"/>
            <color indexed="81"/>
            <rFont val="Tahoma"/>
            <family val="2"/>
          </rPr>
          <t>5 - Verificar la información de 2.400 Entidades Sin Ánimo de Lucro evaluando el cumplimiento legal y financiero de las mismas. (Dirección Distrital de Inspección, vigilancia y control)</t>
        </r>
      </text>
    </comment>
    <comment ref="B13" authorId="0" shapeId="0" xr:uid="{BE19D953-1379-4B53-8CAD-530CAA872D3A}">
      <text>
        <r>
          <rPr>
            <b/>
            <sz val="9"/>
            <color indexed="81"/>
            <rFont val="Tahoma"/>
            <family val="2"/>
          </rPr>
          <t xml:space="preserve">6 - Formular 1 Directriz encaminada a la prevención de faltas disciplinarias. </t>
        </r>
      </text>
    </comment>
    <comment ref="B14" authorId="0" shapeId="0" xr:uid="{528ADF83-C7E0-40F5-805D-93A787FD6BBC}">
      <text>
        <r>
          <rPr>
            <b/>
            <sz val="9"/>
            <color indexed="81"/>
            <rFont val="Tahoma"/>
            <family val="2"/>
          </rPr>
          <t>JennyGoGu:</t>
        </r>
        <r>
          <rPr>
            <sz val="9"/>
            <color indexed="81"/>
            <rFont val="Tahoma"/>
            <family val="2"/>
          </rPr>
          <t xml:space="preserve">
Orientación en materia de prevención de conductas disicplinables</t>
        </r>
      </text>
    </comment>
    <comment ref="B18" authorId="0" shapeId="0" xr:uid="{56ADBFEE-D69A-403C-87C0-316096F6D0AB}">
      <text>
        <r>
          <rPr>
            <b/>
            <sz val="9"/>
            <color indexed="81"/>
            <rFont val="Tahoma"/>
            <family val="2"/>
          </rPr>
          <t>JennyGoGu:</t>
        </r>
        <r>
          <rPr>
            <sz val="9"/>
            <color indexed="81"/>
            <rFont val="Tahoma"/>
            <family val="2"/>
          </rPr>
          <t xml:space="preserve">
7608</t>
        </r>
      </text>
    </comment>
    <comment ref="B22" authorId="0" shapeId="0" xr:uid="{4576DB93-CA8C-42F7-9896-4443EBA652CE}">
      <text>
        <r>
          <rPr>
            <b/>
            <sz val="9"/>
            <color indexed="81"/>
            <rFont val="Tahoma"/>
            <family val="2"/>
          </rPr>
          <t>JennyGoGu:</t>
        </r>
        <r>
          <rPr>
            <sz val="9"/>
            <color indexed="81"/>
            <rFont val="Tahoma"/>
            <family val="2"/>
          </rPr>
          <t xml:space="preserve">
7632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JennyGoGu</author>
  </authors>
  <commentList>
    <comment ref="AB2" authorId="0" shapeId="0" xr:uid="{2A50CB3F-9A3B-433F-836F-3FD7083A7E61}">
      <text>
        <r>
          <rPr>
            <b/>
            <sz val="9"/>
            <color indexed="81"/>
            <rFont val="Tahoma"/>
            <family val="2"/>
          </rPr>
          <t>JennyGoGu:</t>
        </r>
        <r>
          <rPr>
            <sz val="9"/>
            <color indexed="81"/>
            <rFont val="Tahoma"/>
            <family val="2"/>
          </rPr>
          <t xml:space="preserve">
Meta sombrilla, se mide semestral por medio de una encuesta</t>
        </r>
      </text>
    </comment>
    <comment ref="AE2" authorId="0" shapeId="0" xr:uid="{2341CE03-145A-4069-913A-45DB8C32F6B9}">
      <text>
        <r>
          <rPr>
            <b/>
            <sz val="9"/>
            <color indexed="81"/>
            <rFont val="Tahoma"/>
            <family val="2"/>
          </rPr>
          <t xml:space="preserve">6 - Formular 1 Directriz encaminada a la prevención de faltas disciplinarias. </t>
        </r>
      </text>
    </comment>
    <comment ref="AH2" authorId="0" shapeId="0" xr:uid="{B4E598EC-16FA-4947-B4A7-946167CD3B59}">
      <text>
        <r>
          <rPr>
            <b/>
            <sz val="9"/>
            <color indexed="81"/>
            <rFont val="Tahoma"/>
            <family val="2"/>
          </rPr>
          <t>5 - Verificar la información de 2.400 Entidades Sin Ánimo de Lucro evaluando el cumplimiento legal y financiero de las mismas. (Dirección Distrital de Inspección, vigilancia y control)</t>
        </r>
      </text>
    </comment>
    <comment ref="AJ2" authorId="0" shapeId="0" xr:uid="{19D385F4-3859-49B0-8192-6F98188355AA}">
      <text>
        <r>
          <rPr>
            <b/>
            <sz val="9"/>
            <color indexed="81"/>
            <rFont val="Tahoma"/>
            <family val="2"/>
          </rPr>
          <t>JennyGoGu:</t>
        </r>
        <r>
          <rPr>
            <sz val="9"/>
            <color indexed="81"/>
            <rFont val="Tahoma"/>
            <family val="2"/>
          </rPr>
          <t xml:space="preserve">
7608</t>
        </r>
      </text>
    </comment>
    <comment ref="AM2" authorId="0" shapeId="0" xr:uid="{60557CCB-34B7-4341-94D0-F4D39ED14E6C}">
      <text>
        <r>
          <rPr>
            <b/>
            <sz val="9"/>
            <color indexed="81"/>
            <rFont val="Tahoma"/>
            <family val="2"/>
          </rPr>
          <t>JennyGoGu:</t>
        </r>
        <r>
          <rPr>
            <sz val="9"/>
            <color indexed="81"/>
            <rFont val="Tahoma"/>
            <family val="2"/>
          </rPr>
          <t xml:space="preserve">
Meta sombrilla, se mide semestral por medio de una encuesta</t>
        </r>
      </text>
    </comment>
    <comment ref="AE3" authorId="0" shapeId="0" xr:uid="{A4E43B63-725D-4985-81C4-6EC51C85E67E}">
      <text>
        <r>
          <rPr>
            <b/>
            <sz val="9"/>
            <color indexed="81"/>
            <rFont val="Tahoma"/>
            <family val="2"/>
          </rPr>
          <t>JennyGoGu:</t>
        </r>
        <r>
          <rPr>
            <sz val="9"/>
            <color indexed="81"/>
            <rFont val="Tahoma"/>
            <family val="2"/>
          </rPr>
          <t xml:space="preserve">
Orientación en materia de prevención de conductas disicplinables</t>
        </r>
      </text>
    </comment>
    <comment ref="AL3" authorId="0" shapeId="0" xr:uid="{128F0708-9CAA-4457-AF03-D0597EC434FD}">
      <text>
        <r>
          <rPr>
            <b/>
            <sz val="9"/>
            <color indexed="81"/>
            <rFont val="Tahoma"/>
            <family val="2"/>
          </rPr>
          <t>JennyGoGu:</t>
        </r>
        <r>
          <rPr>
            <sz val="9"/>
            <color indexed="81"/>
            <rFont val="Tahoma"/>
            <family val="2"/>
          </rPr>
          <t xml:space="preserve">
7632</t>
        </r>
      </text>
    </comment>
    <comment ref="AB9" authorId="0" shapeId="0" xr:uid="{C5227E09-CBBC-4911-B2F1-19A90F3BD0F4}">
      <text>
        <r>
          <rPr>
            <b/>
            <sz val="9"/>
            <color indexed="81"/>
            <rFont val="Tahoma"/>
            <family val="2"/>
          </rPr>
          <t>5 - Verificar la información de 2.400 Entidades Sin Ánimo de Lucro evaluando el cumplimiento legal y financiero de las mismas. (Dirección Distrital de Inspección, vigilancia y control)</t>
        </r>
      </text>
    </comment>
    <comment ref="AB11" authorId="0" shapeId="0" xr:uid="{0D0085DE-E59A-4467-8F93-318C42958C4C}">
      <text>
        <r>
          <rPr>
            <b/>
            <sz val="9"/>
            <color indexed="81"/>
            <rFont val="Tahoma"/>
            <family val="2"/>
          </rPr>
          <t xml:space="preserve">6 - Formular 1 Directriz encaminada a la prevención de faltas disciplinarias. </t>
        </r>
      </text>
    </comment>
    <comment ref="AB12" authorId="0" shapeId="0" xr:uid="{F4C4620B-E71A-4616-AC59-7798A7767D7B}">
      <text>
        <r>
          <rPr>
            <b/>
            <sz val="9"/>
            <color indexed="81"/>
            <rFont val="Tahoma"/>
            <family val="2"/>
          </rPr>
          <t>JennyGoGu:</t>
        </r>
        <r>
          <rPr>
            <sz val="9"/>
            <color indexed="81"/>
            <rFont val="Tahoma"/>
            <family val="2"/>
          </rPr>
          <t xml:space="preserve">
Orientación en materia de prevención de conductas disicplinables</t>
        </r>
      </text>
    </comment>
    <comment ref="AB16" authorId="0" shapeId="0" xr:uid="{74952831-AA88-43EE-836A-A3C691909AF3}">
      <text>
        <r>
          <rPr>
            <b/>
            <sz val="9"/>
            <color indexed="81"/>
            <rFont val="Tahoma"/>
            <family val="2"/>
          </rPr>
          <t>JennyGoGu:</t>
        </r>
        <r>
          <rPr>
            <sz val="9"/>
            <color indexed="81"/>
            <rFont val="Tahoma"/>
            <family val="2"/>
          </rPr>
          <t xml:space="preserve">
7608</t>
        </r>
      </text>
    </comment>
    <comment ref="AB20" authorId="0" shapeId="0" xr:uid="{BE137E12-206D-4CA1-AB38-130D73FDABA7}">
      <text>
        <r>
          <rPr>
            <b/>
            <sz val="9"/>
            <color indexed="81"/>
            <rFont val="Tahoma"/>
            <family val="2"/>
          </rPr>
          <t>JennyGoGu:</t>
        </r>
        <r>
          <rPr>
            <sz val="9"/>
            <color indexed="81"/>
            <rFont val="Tahoma"/>
            <family val="2"/>
          </rPr>
          <t xml:space="preserve">
7632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<sst xmlns="http://schemas.openxmlformats.org/spreadsheetml/2006/main" count="5152" uniqueCount="1453">
  <si>
    <t>DEPENDENCIA</t>
  </si>
  <si>
    <t>OFICINA_ASESORA_DE_PLANEACIÓN</t>
  </si>
  <si>
    <t>PROCESOS ESTRATÉGICOS</t>
  </si>
  <si>
    <t>NOMBRE DEL INDICADOR</t>
  </si>
  <si>
    <t>NÚMERO DE HERRAMIENTAS Y/O METODOLOGÍAS INTEGRADAS QUE INCREMENTEN LA SATISFACCIÓN DE LOS USUARIOS Y PARTES INTERESADAS</t>
  </si>
  <si>
    <t>PROCESO</t>
  </si>
  <si>
    <t>PROCESOS 
MISIONALES</t>
  </si>
  <si>
    <t>IMPERATIVO</t>
  </si>
  <si>
    <t>ESTADO</t>
  </si>
  <si>
    <t>MIDE</t>
  </si>
  <si>
    <t>PROCESOS 
DE APOYO</t>
  </si>
  <si>
    <t>FORMULA DEL INDICADOR</t>
  </si>
  <si>
    <t>UNIDAD DE MEDIDA</t>
  </si>
  <si>
    <t>VARIABLES</t>
  </si>
  <si>
    <t>EXPLICACION DE LA VARIABLE</t>
  </si>
  <si>
    <t>FUENTE DE INFORMACION</t>
  </si>
  <si>
    <t>PROCESOS DE CONTROL Y EVALUACIÓN</t>
  </si>
  <si>
    <t>PROGRAMADO</t>
  </si>
  <si>
    <t>EJECUTADO</t>
  </si>
  <si>
    <t>PROGR</t>
  </si>
  <si>
    <t>LOGRO</t>
  </si>
  <si>
    <t>Enero</t>
  </si>
  <si>
    <t>Octubre</t>
  </si>
  <si>
    <t>Febrero</t>
  </si>
  <si>
    <t>Marzo</t>
  </si>
  <si>
    <t>Abril</t>
  </si>
  <si>
    <t>Mayo</t>
  </si>
  <si>
    <t>% EJECUCIÓN AL CORTE</t>
  </si>
  <si>
    <t>% DESEMPEÑO
ANUAL</t>
  </si>
  <si>
    <t>Junio</t>
  </si>
  <si>
    <t>Julio</t>
  </si>
  <si>
    <t>Agosto</t>
  </si>
  <si>
    <t>Atención a la Ciudadanía</t>
  </si>
  <si>
    <t>Septiembre</t>
  </si>
  <si>
    <t>Planeación y Mejora Continua</t>
  </si>
  <si>
    <t>TOTAL PLAN DE GOBIERNO</t>
  </si>
  <si>
    <t>Noviembre</t>
  </si>
  <si>
    <t>Diciembre</t>
  </si>
  <si>
    <t>Gestión de las Comunicaciones</t>
  </si>
  <si>
    <t>EJECUCIÓN PERIODO DE MEDICIÓN</t>
  </si>
  <si>
    <t>Gestión de TIC</t>
  </si>
  <si>
    <t>Gestión Documental</t>
  </si>
  <si>
    <t>Gestión del Talento Humano</t>
  </si>
  <si>
    <t>Gestión Jurídica Distrital</t>
  </si>
  <si>
    <t>Gestión Disciplinaria Distrital</t>
  </si>
  <si>
    <t>Inspección Vigilancia y Control ESAL</t>
  </si>
  <si>
    <t>Gestión Normativa y Conceptual</t>
  </si>
  <si>
    <t>Gestión Jurídica y Extrajudicial del DC</t>
  </si>
  <si>
    <t>Notificaciones</t>
  </si>
  <si>
    <t>Gestión Financiera</t>
  </si>
  <si>
    <t>Gestión Administrativa</t>
  </si>
  <si>
    <t>Gestión Contractual</t>
  </si>
  <si>
    <t>Evaluación Independiente</t>
  </si>
  <si>
    <t>Control Interno Disciplinario</t>
  </si>
  <si>
    <t>META</t>
  </si>
  <si>
    <t>% CUMPLIMIENTO AL CORTE</t>
  </si>
  <si>
    <t xml:space="preserve">Planeación y Mejora </t>
  </si>
  <si>
    <t xml:space="preserve">Gestión de las Comunicaciones </t>
  </si>
  <si>
    <t>EJECUCIÓN VIGENCIA</t>
  </si>
  <si>
    <t>Gestión de Talento Humano</t>
  </si>
  <si>
    <t>Inspección, Vigilancia y Control ESAL</t>
  </si>
  <si>
    <t>MES DE DILIGENCIAMIENTO</t>
  </si>
  <si>
    <t>MARZO</t>
  </si>
  <si>
    <t>&lt;</t>
  </si>
  <si>
    <t>PERIODO</t>
  </si>
  <si>
    <t>ANUAL</t>
  </si>
  <si>
    <t>11</t>
  </si>
  <si>
    <t>12</t>
  </si>
  <si>
    <t>13</t>
  </si>
  <si>
    <t>14</t>
  </si>
  <si>
    <t>15</t>
  </si>
  <si>
    <t>16</t>
  </si>
  <si>
    <t>17</t>
  </si>
  <si>
    <t>18</t>
  </si>
  <si>
    <t>19</t>
  </si>
  <si>
    <t>20</t>
  </si>
  <si>
    <t>21</t>
  </si>
  <si>
    <t>22</t>
  </si>
  <si>
    <t>24</t>
  </si>
  <si>
    <t>25</t>
  </si>
  <si>
    <t>26</t>
  </si>
  <si>
    <t>DESEMPEÑO</t>
  </si>
  <si>
    <t>CUMPLIMIENTO</t>
  </si>
  <si>
    <t>CÓDIGO</t>
  </si>
  <si>
    <t>CLASE</t>
  </si>
  <si>
    <t xml:space="preserve">PLAN </t>
  </si>
  <si>
    <t>INDICADOR</t>
  </si>
  <si>
    <t>OBJETIVOS</t>
  </si>
  <si>
    <t>NUMERADOR</t>
  </si>
  <si>
    <t>DENOMINADOR</t>
  </si>
  <si>
    <t>EXPLICACION DE LA VARIABLE NUMERADOR</t>
  </si>
  <si>
    <t>EXPLICACION DE LA VARIABLE DENOMINADOR</t>
  </si>
  <si>
    <t>FUENTE DE INFORMACION NUMERADOR</t>
  </si>
  <si>
    <t>FUENTE DE INFORMACION DENOMINADOR</t>
  </si>
  <si>
    <t>LÍNEA BASE</t>
  </si>
  <si>
    <t>FUENTE DE INFORMACIÓN LÍNEA BASE</t>
  </si>
  <si>
    <t>ANUALIZACIÓN</t>
  </si>
  <si>
    <t>PERIODICIDAD</t>
  </si>
  <si>
    <t>TIPO</t>
  </si>
  <si>
    <t>RESPONSABLE DE EJECUTAR</t>
  </si>
  <si>
    <t>RESPONSABLE DE CONSOLIDAR, ANALIZAR Y REPORTAR</t>
  </si>
  <si>
    <t>DECISIONES</t>
  </si>
  <si>
    <t>PR 2020</t>
  </si>
  <si>
    <t>PR 2021</t>
  </si>
  <si>
    <t>PR 2022</t>
  </si>
  <si>
    <t>PR 2023</t>
  </si>
  <si>
    <t>PR 2024</t>
  </si>
  <si>
    <t>EJE 2020</t>
  </si>
  <si>
    <t>EJE 2021</t>
  </si>
  <si>
    <t>EJE 2022</t>
  </si>
  <si>
    <t>EJE 2023</t>
  </si>
  <si>
    <t>EJE 2024</t>
  </si>
  <si>
    <t>% Ejecutado 
2020</t>
  </si>
  <si>
    <t>% Ejecutado 
2021</t>
  </si>
  <si>
    <t>% Ejecutado 
2022</t>
  </si>
  <si>
    <t>% Ejecutado 
2023</t>
  </si>
  <si>
    <t>% Ejecutado 
2024</t>
  </si>
  <si>
    <t>prog ene</t>
  </si>
  <si>
    <t>prog feb</t>
  </si>
  <si>
    <t>prog mar</t>
  </si>
  <si>
    <t>prog abr</t>
  </si>
  <si>
    <t>prog may</t>
  </si>
  <si>
    <t>prog jun</t>
  </si>
  <si>
    <t>prog jul</t>
  </si>
  <si>
    <t>prog ago</t>
  </si>
  <si>
    <t>prog sep</t>
  </si>
  <si>
    <t>prog oct</t>
  </si>
  <si>
    <t>prog nov</t>
  </si>
  <si>
    <t>prog dic</t>
  </si>
  <si>
    <t>ejec ene</t>
  </si>
  <si>
    <t>ejec feb</t>
  </si>
  <si>
    <t>ejec mar</t>
  </si>
  <si>
    <t>ejec abr</t>
  </si>
  <si>
    <t>ejec may</t>
  </si>
  <si>
    <t>ejec jun</t>
  </si>
  <si>
    <t>ejec jul</t>
  </si>
  <si>
    <t>ejec ago</t>
  </si>
  <si>
    <t>ejec sep</t>
  </si>
  <si>
    <t>ejec oct</t>
  </si>
  <si>
    <t>ejec nov</t>
  </si>
  <si>
    <t>ejec dic</t>
  </si>
  <si>
    <t>ENERO</t>
  </si>
  <si>
    <t>FEBRERO</t>
  </si>
  <si>
    <t>ABRIL</t>
  </si>
  <si>
    <t>MAYO</t>
  </si>
  <si>
    <t>JUNIO</t>
  </si>
  <si>
    <t>JULIO</t>
  </si>
  <si>
    <t>AGOSTO</t>
  </si>
  <si>
    <t>SEPTIEMBRE</t>
  </si>
  <si>
    <t>OCTUBRE</t>
  </si>
  <si>
    <t>NOVIEMBRE</t>
  </si>
  <si>
    <t>OBSERVACIONES 2</t>
  </si>
  <si>
    <t xml:space="preserve">VERSIÓN </t>
  </si>
  <si>
    <t>FINALIZADA 1
CUMPLIDO2
SUSPENDIDO 3</t>
  </si>
  <si>
    <t>DEFICIENTE INFERIOR</t>
  </si>
  <si>
    <t>DEFICIENTE SUPERIOR</t>
  </si>
  <si>
    <t>BUENO INFERIOR</t>
  </si>
  <si>
    <t>BUENO SUPERIOR</t>
  </si>
  <si>
    <t>EXCELENTE INFERIOR</t>
  </si>
  <si>
    <t>EXCELENTE SUPERIOR</t>
  </si>
  <si>
    <t>OBSERVACIONES</t>
  </si>
  <si>
    <t>Cump ene</t>
  </si>
  <si>
    <t>Cump feb</t>
  </si>
  <si>
    <t>Cump mar</t>
  </si>
  <si>
    <t>Cump abr</t>
  </si>
  <si>
    <t>Cump may</t>
  </si>
  <si>
    <t>Cump jun</t>
  </si>
  <si>
    <t>Cump jul</t>
  </si>
  <si>
    <t>Cump ago</t>
  </si>
  <si>
    <t>Cump sep</t>
  </si>
  <si>
    <t>Cump oct</t>
  </si>
  <si>
    <t>Cump nov</t>
  </si>
  <si>
    <t>Cump dic</t>
  </si>
  <si>
    <t>1 - Lograr un nivel de EFICIENCIAdel 89 % de la gestión jurídica en el Distrito Capital. (7621)</t>
  </si>
  <si>
    <t>SUBSECRETARÍA JURÍDICA DISTRITAL</t>
  </si>
  <si>
    <t>SUB559</t>
  </si>
  <si>
    <t>ESTRATÉGICO</t>
  </si>
  <si>
    <t>ACCIÓN</t>
  </si>
  <si>
    <t>559- NIVEL DE EFICIENCIAEN LA GESTIÓN JURÍDICA DISTRITAL</t>
  </si>
  <si>
    <t>REALIZAR EL SEGUIMIENTO A LAS ACTIVIDADES ENMARCADAS EN  LA EFICIENCIADE LA GESTIÓN JURÍDICA DISTRITAL</t>
  </si>
  <si>
    <t>POSICIONAMIENTO COMO ENTE RECTOR</t>
  </si>
  <si>
    <t>ACTIVO</t>
  </si>
  <si>
    <t>PLAN DE DESARROLLO</t>
  </si>
  <si>
    <t>PROYECTO DE INVERSIÓN</t>
  </si>
  <si>
    <t>Nivel de satisfacción de los servicios prestados por la SJD *(75%) + Nivel de  satisfacción de los servicios prestados en IVC *(25%)</t>
  </si>
  <si>
    <t>Porcentaje de satisfacción</t>
  </si>
  <si>
    <t>Nivel de satisfacción de los servicios prestados por la SJD *(75%)</t>
  </si>
  <si>
    <t>Nivel de  satisfacción de los servicios prestados en IVC *(25%)</t>
  </si>
  <si>
    <t>La satisfacción de los servicios prestados por la SJD, se mide en función de todas las actividades jurídicas que realiza la Entidad, dirigidas a las entidades distritales.
Para efectos del cálculo de nivel de EFICIENCIAel resultado de esta encuesta tiene una ponderación del 75%</t>
  </si>
  <si>
    <t>La satisfacción de los servicios prestados en IVC comprende ciudadanos y Entidades Sin Ánimo de Lucro ESAL.
Para efectos del cálculo de nivel de EFICIENCIAel resultado de esta encuesta tiene una ponderación del 25%</t>
  </si>
  <si>
    <t>Encuesta semestral de satisfacción de los servicios prestados por la SJD 
Informe de tabulación de resultados</t>
  </si>
  <si>
    <t>Encuesta semestral de satisfacción de los servicios prestados por en IVC
Informe de tabulación de resultados</t>
  </si>
  <si>
    <t xml:space="preserve">Encuestas de satisfacción 2020
Reporte SEGPLAN </t>
  </si>
  <si>
    <t>CONSTANTE</t>
  </si>
  <si>
    <t>SEMESTRAL</t>
  </si>
  <si>
    <t>EFICIENCIA</t>
  </si>
  <si>
    <t>SECRETARIA SUBSECRETARÍA</t>
  </si>
  <si>
    <t>PROFESIONAL ESPECIALIZADO</t>
  </si>
  <si>
    <t>SUBSECRETARÍA DE DESPACHO</t>
  </si>
  <si>
    <t>28 junio: Análisis se considera muy superficial, fue recibido el 24 de junio mediante rad 3-2021-4589.
Presenta incumplimiento en la programación del 2do trimestre, se sugiere acción administrativa. Rad  3-2021-4939</t>
  </si>
  <si>
    <t>485 - Crear el modelo de gestión jurídica anticorrupción</t>
  </si>
  <si>
    <t>DIRECCIÓN DISTRITAL DE POLÍTICA JURÍDICA</t>
  </si>
  <si>
    <t>DPJ531</t>
  </si>
  <si>
    <t>531 - PORCENTAJE DE AVANCE DE LA CREACIÓN DEL MODELO DE GESTIÓN JURÍDICA ANTICORRUPCIÓN</t>
  </si>
  <si>
    <t>CONTROLAR EL AVANCE DEL MODELO ANTICORRUPCIÓN EN ENTIDADES Y ORGANISMOS DISTRITALES.</t>
  </si>
  <si>
    <t>GESTIÓN JURÍDICA DISTRITAL</t>
  </si>
  <si>
    <t>PRODUCTO</t>
  </si>
  <si>
    <t>(Sumatoria de las actividades cumplidas en el período /Actividades programadas para la vigencia)*100</t>
  </si>
  <si>
    <t>Actividades</t>
  </si>
  <si>
    <t>Sumatoria de las actividades cumplidas en el período</t>
  </si>
  <si>
    <t>Actividades programadas para la vigencia</t>
  </si>
  <si>
    <t>Corresponde a las actividades cumplidas de acuerdo con el plan de acción del módelo de gestión jurídica</t>
  </si>
  <si>
    <t>Corresponde a las actividades programadas para la vigencia en el plan de acción del modelo de gestión jurídica</t>
  </si>
  <si>
    <t>Informe de supervisión del contrato e informes mensuales y trimestrales presentados a la Oficina Asesora de Planeación</t>
  </si>
  <si>
    <t>Plan Operativo Anual de la Dirección</t>
  </si>
  <si>
    <t>SUMA</t>
  </si>
  <si>
    <t>MENSUAL</t>
  </si>
  <si>
    <t>EFICACIA</t>
  </si>
  <si>
    <t>Servidores y colaboradores de la dependencia</t>
  </si>
  <si>
    <t>Equipo de Gestión de calidad</t>
  </si>
  <si>
    <t xml:space="preserve">DIRECTOR(A) DISTIRTAL DE POLÍTICA E INFORMÁTICA JURÍDICA </t>
  </si>
  <si>
    <t>Presenta incumpimiento de la programación para el mes de junio de 2021 Rad 3-2021-4987</t>
  </si>
  <si>
    <t>486 - Crear el observatorio distrital de contratación y lucha anticorrupción</t>
  </si>
  <si>
    <t>DPJ532</t>
  </si>
  <si>
    <t>532 - PORCENTAJE DE AVANCE DE LA CREACIÓN DEL OBSERVATORIO DISTRITAL DE CONTRATACIÓN Y LUCHA ANTICORRUPCIÓN</t>
  </si>
  <si>
    <t>CONTROLAR EL AVANCE DE LA CREACIÓN DEL MODELO DE GESTIÓN JURÍDICA ANTICORRUPCIÓN</t>
  </si>
  <si>
    <t>Corresponde a las actividades cumplidas de acuerdo con el plan de creación del observatorio Distrital de Contratación y Lucha Anticorrupción</t>
  </si>
  <si>
    <t>Corresponde a las actividades programadas para la vigencia en el plan de creación del observatorio Distrital de Contratación y Lucha Anticorrupción</t>
  </si>
  <si>
    <t>491 - Desarrollar 8 investigaciones jurídicas en materias de alto impacto que guíen las actuaciones distritales</t>
  </si>
  <si>
    <t>DPJ537</t>
  </si>
  <si>
    <t>537 -NÚMERO DE INVESTIGACIONES JURÍDICAS EN TEMAS DE ALTO IMPACTO DESARROLLADAS.</t>
  </si>
  <si>
    <t>MEDIR EL NÚMERO DE INVESTIGACIONES EN TEMAS DE ALTO IMPACTO DESARROLLADAS</t>
  </si>
  <si>
    <t>Sumatoria de investigaciones en temas de alto impacto desarrolladas</t>
  </si>
  <si>
    <t>N.A.</t>
  </si>
  <si>
    <t>Corresponde a la cantidad de investigaciones de alto impacto desarrolladas</t>
  </si>
  <si>
    <t>500 - Diseñar, institucionalizar e implementar una política pública distrital de gobernanza regulatoria, que incluya la racionalización de trámites</t>
  </si>
  <si>
    <t>DPJ548</t>
  </si>
  <si>
    <t>548- PORCENTAJE DE ACTIVIDADES DESARROLLADAS PARA EL DISEÑO DE LA POLÍTICA DE GOBERNANZA REGULATORIA</t>
  </si>
  <si>
    <t>MEDIR EL AVANCE DE LAS ACTIVIDADES DESARROLLADAS PARA EL DISEÑO DE LA POLÍTICA DE GOBERNANZA REGULATORIA</t>
  </si>
  <si>
    <t>ODS</t>
  </si>
  <si>
    <t>Corresponde a las actividades cumplidas de acuerdo con el plan de acción para el diseño de la Política de Gobernanza</t>
  </si>
  <si>
    <t>Corresponde a las actividades programadas para la vigencia en el plan de acción para el diseño de la Política de Gobernanza</t>
  </si>
  <si>
    <t>501 - Ejecutar un plan de reconocimientos por los aportes significativos a la gestión jurídica distrital y a la lucha anticorrupción</t>
  </si>
  <si>
    <t>DPJ549</t>
  </si>
  <si>
    <t>549 - PORCENTAJE DE AVANCE DE LA CREACIÓN  DEL PLAN DE RECONOCIMIENTOS DE APORTES A LA GESTIÓN JURÍDICA DISTRITAL Y A LA LUCHA ANTICORRUPCIÓN</t>
  </si>
  <si>
    <t>MEDIR EL AVANCE DE LA CREACIÓN DEL PLAN DE RECONOCIMIENTOS</t>
  </si>
  <si>
    <t>Corresponde a las actividades cumplidas de acuerdo con el plan de acción del plan de reconocimientos</t>
  </si>
  <si>
    <t>Corresponde a las actividades programadas para la vigencia en el plan de acción del plan de reconocimientos</t>
  </si>
  <si>
    <t xml:space="preserve">DIRECTOR(A) DISTIRTAL DE POLÍTICA JURÍDICA </t>
  </si>
  <si>
    <t xml:space="preserve">12 - Lograr un nivel de éxito procesal del 83 % orientado a la defensa del patrimonio Distrital. </t>
  </si>
  <si>
    <t xml:space="preserve">DIRECCIÓN DISTRITAL DE GESTIÓN JUDICIAL </t>
  </si>
  <si>
    <t>533- NIVEL DE ÉXITO PROCESAL EN EL DISTRITO CAPITAL</t>
  </si>
  <si>
    <t>MEDIR EL PORCENTAJE DE PROCESOS CON FALLO A FAVOR DEL DISTRITO CAPITAL</t>
  </si>
  <si>
    <t xml:space="preserve">RESPALDO JURÍDICO QUE GENERA CONFIANZA. </t>
  </si>
  <si>
    <t>(Número de procesos terminado con fallo favorable para el DC / Total de procesos terminados dentro del período de análisis) *100</t>
  </si>
  <si>
    <t>Procesos</t>
  </si>
  <si>
    <t>Total de procesos terminados dentro del período de análisis</t>
  </si>
  <si>
    <t>Comprende los procesos terminados con fallo favorable para el DC, registrados dentro de un período determinado.</t>
  </si>
  <si>
    <t>SIPROJWEB/ LEGALBOG</t>
  </si>
  <si>
    <t>SIPROJWEB/ Informe de Gestión DDGJ 2020</t>
  </si>
  <si>
    <t>EFECTIVIDAD</t>
  </si>
  <si>
    <t>PROFESIONAL UNIVERSITARIO GRADO 18</t>
  </si>
  <si>
    <t xml:space="preserve">Director(a) de Gestión Judicial </t>
  </si>
  <si>
    <t>494 - Determinar el estado actual de 9.000 entidades sin ánimo de lucro, con el fin de generar información confiable frente al cumplimiento de sus
 obligaciones jurídicas y financieras</t>
  </si>
  <si>
    <t xml:space="preserve">DIRECCIÓN DISTRITAL DE INSPECCIÓN, VIGILANCIA Y CONTROL </t>
  </si>
  <si>
    <t>IVC540</t>
  </si>
  <si>
    <t>540 - NÚMERO DE ENTIDADES SIN ÁNIMO DE LUCRO IDENTIFICADAS CON INFORMACIÓN CONFIABLE, RESPECTO DE SUS OBLIGACIONES JURÍDICAS Y FINANCIERAS</t>
  </si>
  <si>
    <t>VERIFICAR LA INFORMACIÓN DE LAS ESAL EVALUANDO EL CUMPLIMIENTO DE SUS OBLIGACIONES LEGALES Y FINANCIERAS CON EL ENTE DE CONTROL.</t>
  </si>
  <si>
    <t>INSPECCIÓN VIGILANCIA Y CONTROL ESAL</t>
  </si>
  <si>
    <t>Sumatoria del número de Entidades Sin Ánimo de Lucro a las cuáles se les verificó información respecto de sus obligaciones jurídicas y financieras</t>
  </si>
  <si>
    <t>Entidades Sin Ánimo de Lucro ESAL</t>
  </si>
  <si>
    <t>Entidades Sin Ánimo de Lucro a las cuáles se les verificó información respecto de sus obligaciones jurídicas y financieras</t>
  </si>
  <si>
    <t>De la base de datos de ESAL se realiza análisis financiero y jurídico y se verifica la documentación allegada por las ESAL al ente de control determinando las acciones legales a adelantar, posteriormente se evalúa el cumplimiento por parte de la ESAL y se determina el estado de cumplimiento con el ente de control</t>
  </si>
  <si>
    <t>Base de datos de las ESAL registradas en la Cámara de Comercio de Bogotá y el SIPEJ</t>
  </si>
  <si>
    <t>No aplica</t>
  </si>
  <si>
    <t>PROFESIONAL ESPECIALIZADO Y/O UNIVERSITARIO</t>
  </si>
  <si>
    <t>Profesional o contratista designado</t>
  </si>
  <si>
    <t>DIRECTOR(A)</t>
  </si>
  <si>
    <t>533 - Orientar a 4.000 ciudadanos en derechos, obligaciones y control ciudadano de las entidades sin ánimo de lucro</t>
  </si>
  <si>
    <t>IVC582</t>
  </si>
  <si>
    <t>582 - NÚMERO DE CIUDADANOS ORIENTADOS EN ASPECTOS JURÍDICOS, FINANCIEROS Y DE INSPECCIÓN VIGILANCIA Y CONTROL DE LAS ENTIDADES SIN ÁNIMO DE LUCRO - ESAL.</t>
  </si>
  <si>
    <t>MEDIR LA CANTIDAD DE CIUDADANOS ORIENTADOS EN ASPECTOS JURÍDICOS, FINANCIEROS Y DE INSPECCIÓN VIGILANCIA Y CONTROL DE LAS ENTIDADES SIN ÁNIMO DE LUCRO - ESAL</t>
  </si>
  <si>
    <t>Sumatoria del número de ciudadanos orientados en aspectos jurídicos, financieros y de Inspección, Vigilancia y control.</t>
  </si>
  <si>
    <t>Ciudadanos</t>
  </si>
  <si>
    <t>Número de ciudadanos que participan en las jornadas de orientación</t>
  </si>
  <si>
    <t>Número de ciudadanos que participan de las jornadas de orientación.</t>
  </si>
  <si>
    <t>Registros de asistencia de los participantes de la reunión</t>
  </si>
  <si>
    <t>SEGPLAN 2020
Informe de la Dirección de IVC</t>
  </si>
  <si>
    <t>TÉCNICO OPERATIVO</t>
  </si>
  <si>
    <t>514 - Generar 4 directrices orientadas a la prevención de prácticas irregulares en el Distrito y comisión de faltas disciplinaria</t>
  </si>
  <si>
    <t>DIRECCIÓN DISTRITAL DE ASUNTOS DISCIPLINARIOS</t>
  </si>
  <si>
    <t>DAD563</t>
  </si>
  <si>
    <t>563 - NÚMERO DE DIRECTRICES DISCIPLINARIAS EMITIDAS</t>
  </si>
  <si>
    <t>MEDIR EL NÚMERO DE DIRECTRICES EMITIDAS EN MATERIA DISCIPLINARIA</t>
  </si>
  <si>
    <t>GESTIÓN DISCIPLINARIA DISTRITAL</t>
  </si>
  <si>
    <t>Sumatoria de directrices emitidas en materia disciplinaria</t>
  </si>
  <si>
    <t>Directrices</t>
  </si>
  <si>
    <t>Número de directrices emitidas en materia disciplinaria</t>
  </si>
  <si>
    <t>Total de directivas emitidas</t>
  </si>
  <si>
    <t>Plan de Desarrollo 2020-2024
Informe de gestión DDAD</t>
  </si>
  <si>
    <t>PLAN DE DESARROLLO 2020-2024, INFORME DE LA DIRECCIÓN DISTRITAL DE ASUNTOS DISCIPLINARIOS</t>
  </si>
  <si>
    <t>PROFESIONAL ESPECIALIZADO DDAD</t>
  </si>
  <si>
    <t>DIRECTOR (A) DISTRITAL DE ASUNTOS DISCIPLINARIOS</t>
  </si>
  <si>
    <t>RADICADO  3-2021-2241 Y CORREO ELECTRÓNICO DEL 31 DE MARZO 
REPROGRAMAN LA META 3-2021-4169
CORREO ELECTRONICO 2/07/2021 REPROGRAMA VIGENCIA APJARA
INDICADOR CUMPLIDO.
Con rad 3-2021-5095 justifican sobre ejecución del indicador</t>
  </si>
  <si>
    <t>534 - Orientar a 8.000 servidores públicos en materia de prevención de la responsabilidad disciplinaria</t>
  </si>
  <si>
    <t>DAD583</t>
  </si>
  <si>
    <t>583 - NÚMERO DE SERVIDORES PÚBLICOS ORIENTADOS EN MATERIA DISCIPLINARIA</t>
  </si>
  <si>
    <t>MEDIR EL NÚMERO DE SERVIDORES PÚBLICOS DISTRITALES ORIENTADOS EN PREVENCIÓN DE LA OCURRENCIA DE FALTA DISCIPLINARIA.</t>
  </si>
  <si>
    <t>PMR</t>
  </si>
  <si>
    <t>Sumatoria de servidores públicos orientados en materia disciplinaria</t>
  </si>
  <si>
    <t>Servidores Públicos</t>
  </si>
  <si>
    <t>Número de servidores públicos orientados en materia disciplinaria</t>
  </si>
  <si>
    <t>Corresponde al número de personas orientadas a través de diferentes estrategias</t>
  </si>
  <si>
    <t>Listas o evidencias de asistencia</t>
  </si>
  <si>
    <t>Anexo artículo 14 - PDD</t>
  </si>
  <si>
    <t>PROFESIONAL DDAD</t>
  </si>
  <si>
    <t>Incrementar en un 30% la participación ciudadana en la formulación de observaciones frente a los proyectos de actos administrativos distritales</t>
  </si>
  <si>
    <t>DIRECCIÓN DISTRITAL DE DOCTRINA Y ASUNTOS NORMATIVOS</t>
  </si>
  <si>
    <t>DAN001</t>
  </si>
  <si>
    <t>TÁCTICO</t>
  </si>
  <si>
    <t>NÚMERO DE OBSERVACIONES CIUDADANAS EN LOS PROYECTOS DE ACTOS ADMINISTRATIVOS DISTRITALES</t>
  </si>
  <si>
    <t>LLEVAR EL CONTROL DEL NÚMERO DE OBSERVACIONES PRESENTADAS POR LA CIUADADANÍA Y/O PARTES INTERESADAS.</t>
  </si>
  <si>
    <t>GESTIÓN NORMATIVA Y CONCEPTUAL</t>
  </si>
  <si>
    <t>Sumatoria del número de observaciones realizadas por la ciudadanía y/o partes interesadas, respecto de actos administrativos presentado por la Administración Distrital</t>
  </si>
  <si>
    <t>Observaciones</t>
  </si>
  <si>
    <t>Número de observaciones realizadas por la ciudadanía y/o partes interesadas, respecto de actos administrativos presentado por la Administración Distrital</t>
  </si>
  <si>
    <t>Son las observaciones que surgen por parte de la ciudadanía y/o partes interesadas, con ocasión a la publicación de los actos administrativos (decretos, resoluciones, directivas, circulares, entre otros), de interés para el Distrito Capital , y que son objeto de firma de la Alcaldesa</t>
  </si>
  <si>
    <t>Reporte LEGALBOG</t>
  </si>
  <si>
    <t>Informes de gestión de la Dirección Distrital de Asuntos Normativos</t>
  </si>
  <si>
    <t>CRECIENTE</t>
  </si>
  <si>
    <t>PROFESIONAL UNIVERSITARIO</t>
  </si>
  <si>
    <t>DIRECTOR(A) DISTRITAL DE DOCTRINA Y ASUNTOS NORMATIVOS</t>
  </si>
  <si>
    <t>RADICADO  3-2021-2241 Y CORREO ELECTRÓNICO DEL 31 DE MARZO
AVANCE 2DO TRIM: RADICADO  3-2021-4981 8 DE JULIO</t>
  </si>
  <si>
    <t>DAN004</t>
  </si>
  <si>
    <t>INCREMENTO DE LA PARTICIPACIÓN CIUDADANA EN LA FORMULACIÓN DE OBSERVACIONES FRENTE A LOS PROYECTOS DE ACTOS ADMINISTRATIVOS DISTRITALES."</t>
  </si>
  <si>
    <t>MONITOREAR LA PARTICIPACIÓN CIUDADANA EN TORNO A LA EXPEDICIÓN DE ACTOS ADMINISTRATIVOS DISTRITALES</t>
  </si>
  <si>
    <t>Porcentaje de participación</t>
  </si>
  <si>
    <t>Sumatoria de las observaciones revisadas a los actos administrativos</t>
  </si>
  <si>
    <t>Son las observaciones que fueron objeto de revisión por parte del sector que presenta el proyecto de acto administrativo para revisión de legalidad, y sobre las cuales se analizan para ser acogidas o no, en el cuerpo del acto administrativo</t>
  </si>
  <si>
    <t>Corresponde al total de observaciones allegadas que surgen por parte de la ciudadanía y/o partes interesadas, con ocasión a la publicación de los actos administrativos (decretos, resoluciones, directivas, circulares, entre otros), de interés para el Distrito Capital, multiplicado por el factor de participación esperado</t>
  </si>
  <si>
    <t>Informe mensual allegado a la SJD en medio magnético al correo correspondencia@secretariajuridica.gov.co</t>
  </si>
  <si>
    <t>RADICADO  3-2021-2241 Y CORREO ELECTRÓNICO DEL 31 DE MARZO</t>
  </si>
  <si>
    <t>2 - Realizar 100 % Seguimiento De Las Observaciones De La Ciudadanía Frente A Los
Proyectos De Actos Administrativos Distritales</t>
  </si>
  <si>
    <t>DAN002</t>
  </si>
  <si>
    <t>PORCENTAJE DE OBSERVACIONES CIUDADANAS EN LOS PROYECTOS DE ACTOS ADMINISTRATIVOS DISTRITALES REVISADAS (PROMEDIO DE OBSERVACIONES CIUDADANAS EN LOS PROYECTOS DE ACTOS ADMINISTRATIVOS DISTRITALES)</t>
  </si>
  <si>
    <t>REALIZAR LAS CORRESPONDIENTES REVISIONES A LAS OBSERVACIONES PRESENTADAS POR LA CIUADADANÍA Y/O PARTES INTERESADAS.</t>
  </si>
  <si>
    <t>(Sumatoria del número de observaciones realizadas por la ciudadanía y/o partes interesadas revisadas en el período) / (Sumatoria del número de observaciones realizadas por la ciudadanía y/o partes interesadas en el período)*100</t>
  </si>
  <si>
    <t>Revisiones</t>
  </si>
  <si>
    <t>Sumatoria del número de observaciones realizadas por la ciudadanía y/o partes interesadas revisadas en el período</t>
  </si>
  <si>
    <t>Sumatoria del número de observaciones realizadas por la ciudadanía y/o partes interesadas en el período</t>
  </si>
  <si>
    <t>Corresponde al total de observaciones presentadas por la ciudadanía y/o partes interesadas revisadas</t>
  </si>
  <si>
    <t>Corresponde al total de observaciones presentadas por la ciudadanía y/o partes interesadas</t>
  </si>
  <si>
    <t>1. Fortalecer en un 100% el desarrollo del Modelo Integrado de Planeación y Gestión - MIPG en la Secretaría Jurídica Distrital</t>
  </si>
  <si>
    <t>OFICINA ASESORA DE PLANEACIÓN</t>
  </si>
  <si>
    <t>OAP556</t>
  </si>
  <si>
    <t>NIVEL DE FORTALECIMIENTO DEL MIPG PARA LA SECRETARÍA JURÍDICA DISTRITAL</t>
  </si>
  <si>
    <t>MEDIR EL NIVEL DE IMPLEMENTACIÓN Y MEJORA DEL MODELO INTEGRADO DE PLANEACIÓN Y GESTIÓN EN LA SJD</t>
  </si>
  <si>
    <t>OPTIMIZACIÓN DE PROCESOS</t>
  </si>
  <si>
    <t>PLANEACIÓN Y MEJORA CONTINUA</t>
  </si>
  <si>
    <t>(Total de actividades ejecutadas en el período /  Total de actividades programadas en el período)*100</t>
  </si>
  <si>
    <t>Total de actividades ejecutadas en el período</t>
  </si>
  <si>
    <t>Total de actividades programadas en el período</t>
  </si>
  <si>
    <t>Corresponde a las actividades ejecutadas en el período, de acuerdo con al plan de acción MIPG</t>
  </si>
  <si>
    <t>Corresponde a las actividades programadas en el período, de acuerdo con al plan de acción MIPG</t>
  </si>
  <si>
    <t>Informes de avance OAP
Seguimiento POA</t>
  </si>
  <si>
    <t>Planes de trabajo contratistas</t>
  </si>
  <si>
    <t>DAFP 2020</t>
  </si>
  <si>
    <t xml:space="preserve">JENNY ROCIO GOMEZ </t>
  </si>
  <si>
    <t xml:space="preserve">LUIS ALEJANDRO ÁVILA </t>
  </si>
  <si>
    <t>Jefe Oficina Asesora de Planeación</t>
  </si>
  <si>
    <t>Integrar cuatro 4 herramientas y/o metodologías de gestión que incrementen la satisfacción de los usuarios y partes interesadas</t>
  </si>
  <si>
    <t>OAP005</t>
  </si>
  <si>
    <t>INTEGRAR CUATRO (4) HERRAMIENTAS Y/O METODOLOGÍAS DE GESTIÓN QUE INCREMENTEN LA SATISFACCIÓN DE LOS USUARIOS Y PARTES INTERESADAS</t>
  </si>
  <si>
    <t xml:space="preserve">Número de herramientas y/o metodologías de gestión integradas </t>
  </si>
  <si>
    <t>Herramientas</t>
  </si>
  <si>
    <t>Corresponde a las herramientas y metodologías desarrolladas</t>
  </si>
  <si>
    <t>Informes de gestión OAP
Seguimiento POA</t>
  </si>
  <si>
    <t/>
  </si>
  <si>
    <t>Generar 10 instrumentos de apropiación de los servidores frente a los temas estratégicos y desafíos institucionales</t>
  </si>
  <si>
    <t>OAP004</t>
  </si>
  <si>
    <t>NÚMERO DE INSTRUMENTOS DE APROPIACIÓN ESTRATÉGICOS DESARROLLADOS EN LA ENTIDAD</t>
  </si>
  <si>
    <t>MEDIR LA CANTIDAD DE INSTRUMENTOS DE PLANEACIÓN DESARROLLADOS E IMPLEMENTADOS EN LA GESTIÓN INSTITUCIONAL</t>
  </si>
  <si>
    <t>Número de instrumentos de apropiación estratégicos desarrollados</t>
  </si>
  <si>
    <t>Instrumentos</t>
  </si>
  <si>
    <t>Corresponde a las metodologías y documentos de apropiación elaborados</t>
  </si>
  <si>
    <t xml:space="preserve">467 - Crear y mantener en funcionamiento una aplicación móvil accesible a la ciudadanía que permita consultar los servicios de información que ofrece la Secretaría Jurídica Distrital </t>
  </si>
  <si>
    <t xml:space="preserve">OFICINA DE TECNOLOGÍAS DE LA INFORMACIÓN Y LAS COMUNICACIONES </t>
  </si>
  <si>
    <t>TIC511</t>
  </si>
  <si>
    <t>511 - Nivel de desarrollo de la Aplicación Móvil APP</t>
  </si>
  <si>
    <t>CREAR Y MANTENER EN FUNCIONAMIENTO UNA APLICACIÓN MÓVIL ACCESIBLE A LA CIUDADANÍA QUE PERMITA CONSULTAR LOS SERVICIOS DE INFORMACIÓN QUE OFRECE LA SECRETARÍA JURÍDICA DISTRITAL</t>
  </si>
  <si>
    <t xml:space="preserve">MODERNIZACIÓN DE SISTEMAS DE INFORMACIÓN. </t>
  </si>
  <si>
    <t>GESTIÓN DE TIC</t>
  </si>
  <si>
    <t>(Total de actividades desarrolladas - ejecutadas / Total de actividades planificadas)*100</t>
  </si>
  <si>
    <t>Total de actividades desarrolladas - ejecutadas</t>
  </si>
  <si>
    <t>Total de actividades planificadas</t>
  </si>
  <si>
    <t xml:space="preserve">De acuerdo con el plan de trabajo definido, corresponde a las actividades ejecutadas de manera satisfactoria </t>
  </si>
  <si>
    <t>Corresponde a la totalidad de actividades programadas en el plan de trabajo para el desarrollo y mantenimiento de la AAP</t>
  </si>
  <si>
    <t>Plan de trabajo con el desarrollo de las actividades descritas en informes de supervisión</t>
  </si>
  <si>
    <t>Plan Anual de Adquisiciones y 
Plan de trabajo aplicación móvil APP</t>
  </si>
  <si>
    <t>N/A</t>
  </si>
  <si>
    <t>CONTRATISTA OFICINA TIC</t>
  </si>
  <si>
    <t>JEFE OFICINA TIC</t>
  </si>
  <si>
    <t>2 - Garantizar 100 % el funcionamiento de las herramientas tecnológicas a cargo de la Secretaría Jurídica Distrital y LegalBog.</t>
  </si>
  <si>
    <t>TIC515</t>
  </si>
  <si>
    <t>515 - Porcentaje de funcionamiento de las herramientas tecnológicas y Legal Bog</t>
  </si>
  <si>
    <t xml:space="preserve">GARANTIZAR EL FUNCIONAMIENTO DE LAS HERRAMIENTAS TECNOLÓGICAS  Y DE APOYO A LEGALBOG  A CARGO DE LA SECRETARÍA JURÍDICA DISTRITAL </t>
  </si>
  <si>
    <t>PROCESOS</t>
  </si>
  <si>
    <t>(Total de Sistemas de información y equipamiento adquiridos / Total de Sistemas de información y equipamiento presupuestado)*100</t>
  </si>
  <si>
    <t>Sistemas de información y equipamiento</t>
  </si>
  <si>
    <t>Total de Sistemas de información y equipamiento adquiridos</t>
  </si>
  <si>
    <t>Total de Sistemas de información y equipamiento presupuestado</t>
  </si>
  <si>
    <t>Sistemas de información y equipamiento adquiridos que garantizan el óptimo nivel de las herramientas tecnológicas</t>
  </si>
  <si>
    <t>Sistemas de información y equipamientos proyectados o presupuestados para compra</t>
  </si>
  <si>
    <t>Órdenes de compra</t>
  </si>
  <si>
    <t>Plan Anual de Adquisiciones</t>
  </si>
  <si>
    <t>Garantizar 100 % del mantenimiento y soporte preventivo, correctivo y evolutivo de los Sistemas de Información de la
Entidad."</t>
  </si>
  <si>
    <t>TIC001</t>
  </si>
  <si>
    <t>PORCENTAJE DE FUNCIONAMIENTO DE LOS SISTEMAS DE INFORMACIÓN DE LA ENTIDAD</t>
  </si>
  <si>
    <t>GARANTIZAR EL MANTENIMIENTO Y SOPORTE PREVENTIVO, CORRECTIVO Y EVOLUTIVO DE LOS SISTEMAS DE INFORMACIÓN DE LA ENTIDAD, A TRAVÉS DE LA ATENCIÓN DE LOS DISTINTOS REQUERIMIENTOS DE LOS USUARIOS.</t>
  </si>
  <si>
    <t>Número de requerimientos atendidos por los contratistas en el período/ Número de requerimientos solicitados por los funcionarios en GLPI en el período</t>
  </si>
  <si>
    <t>Total tickets</t>
  </si>
  <si>
    <t xml:space="preserve">Número de requerimientos atendidos por los contratistas asociados a los sistemas de información </t>
  </si>
  <si>
    <t xml:space="preserve">Número de requerimientos solicitados por los funcionarios en GLPI </t>
  </si>
  <si>
    <t>Corresponde al total de requerimientos - tickets, atendidos y resueltos por los contratistas y que están asociados a los sistemas de información</t>
  </si>
  <si>
    <t>Corresponde al total de requerimientos - tickets solicitados por los servidores y funcionarios y registrados en el GLPI en el período, asociados a los Sistemas de Información de la Entidad</t>
  </si>
  <si>
    <t>GLPI - Aplicativo para el registro y control de actividades de soporte técnico
ANS de servicio</t>
  </si>
  <si>
    <t>Definir una ficha técnica - alcance de los 10 instrumentos de apropiación (3 para el 2021)</t>
  </si>
  <si>
    <t>Actualizar e  implementar el 100% de  los lineamientos de la Política de Seguridad Digital en la Entidad</t>
  </si>
  <si>
    <t>TIC002</t>
  </si>
  <si>
    <t>NIVEL DE CUMPLIMIENTO DE IMPLEMENTACION DEL MSPI</t>
  </si>
  <si>
    <t xml:space="preserve">MEDIR LA  IMPLEMENTACIÓN DEL MODELO DE SEGURIDAD Y PRIVACIDAD DE LA INFORMACIÓN DE MANERA QUE SE CUMPLA CON LOS CRITERIOS DE CONFIDENCIALIDAD, INTEGRIDAD Y DISPONIBILIDAD </t>
  </si>
  <si>
    <t>(Número de actividades desarrollas)/(Número de actividades planificadas)*100</t>
  </si>
  <si>
    <t>Número de actividades desarrolladas</t>
  </si>
  <si>
    <t>Número de actividades planificadas</t>
  </si>
  <si>
    <t>Actividades desarrolladas para implementar la Política de Seguridad y Privacidad de la Información</t>
  </si>
  <si>
    <t>Actividades programadas en el plan de trabajo para la implementación de la Política de Seguridad y Privacidad de la Información</t>
  </si>
  <si>
    <t>Informes de avance 
Plan de trabajo
Informes de supervisión</t>
  </si>
  <si>
    <t>Plan de trabajo</t>
  </si>
  <si>
    <t>CONTRATISTA</t>
  </si>
  <si>
    <t>Es importante definir como se hace la integración de las 4 (13) herramientas,  y definir los planes de trabajo para cada año, y como se mide y garantiza la satisfacción de las partes interesadas.</t>
  </si>
  <si>
    <t>Cumplir al 100% el Plan de Comunicaciones de la Secretaría Jurídica Distrital.</t>
  </si>
  <si>
    <t>DESPACHO SECRETARÍA JURÍDICA</t>
  </si>
  <si>
    <t>DESP001</t>
  </si>
  <si>
    <t>GESTIÓN</t>
  </si>
  <si>
    <t>PORCENTAJE DE CUMPLIMIENTO DEL PLAN DE COMUNICACIONES DE LA SECRETARÍA JURÍDICA DISTRITAL</t>
  </si>
  <si>
    <t>DESPACHO</t>
  </si>
  <si>
    <t>REALIZAR EL SEGUIMIENTO AL PLAN DE COMUNICACIONES DE LA SECRETARÍA JURÍDICA DISTRITAL</t>
  </si>
  <si>
    <t>GESTIÓN DE LAS COMUNICACIONES</t>
  </si>
  <si>
    <t>PLAN DE GESTIÓN</t>
  </si>
  <si>
    <t>(Total de actividades del plan de comunicaciones ejecutadas en el período) /  (Total de acciones programadas en el plan de comunicaciones en el período) *100</t>
  </si>
  <si>
    <t>Porcentaje de avance</t>
  </si>
  <si>
    <t>Total de actividades del plan de comunicaciones ejecutadas en el período</t>
  </si>
  <si>
    <t>Total de acciones programadas en el plan de comunicaciones en el período</t>
  </si>
  <si>
    <t>Corresponde al total de acciones ejecutadas en el período de medición</t>
  </si>
  <si>
    <t>Corresponde al total de acciones programadas en el período de medición</t>
  </si>
  <si>
    <t>Plan de comunicaciones
Informes de gestión</t>
  </si>
  <si>
    <t>TRIMESTRAL</t>
  </si>
  <si>
    <t>ASESOR (A) DESPACHO</t>
  </si>
  <si>
    <t>Alcanzar un 95% de ejecución del Proyecto de Inversión 7621.</t>
  </si>
  <si>
    <t>SUB001</t>
  </si>
  <si>
    <t>NIVEL DE EJECUCIÓN PRESUPUESTAL DEL PROYECTO DE INVERSIÓN 7621</t>
  </si>
  <si>
    <t>MONITOREAR EL NIVEL DE EJECUCIÓN PRESUPUESTAL DEL PROYECTO DE INVERSIÓN</t>
  </si>
  <si>
    <t>Suma del valor total de los Registros Presupuestales emitidos/ Valor total del presupuesto disponible para la vigencia</t>
  </si>
  <si>
    <t>Ejecución presupuestal</t>
  </si>
  <si>
    <t>Suma del valor total de los Registros Presupuestales emitidos</t>
  </si>
  <si>
    <t>Valor total del presupuesto disponible para la vigencia</t>
  </si>
  <si>
    <t>Corresponde a la sumatoria de los valores totales de  los Registros Presupuestales emitidos con cargo al proyecto de inversión 7621</t>
  </si>
  <si>
    <t xml:space="preserve">Corresponde al valor total del presupuesto disponible asignado para el proyecto de inversión 7621 en la vigencia </t>
  </si>
  <si>
    <t>BOGDATA</t>
  </si>
  <si>
    <t>SUB002</t>
  </si>
  <si>
    <t>OPERATIVO</t>
  </si>
  <si>
    <t>Porcentaje de requerimientos juridicos gestionados dentro de los tiempos establecidos</t>
  </si>
  <si>
    <t xml:space="preserve">MEDIR EL NIVEL DE CUMPLIMIENTO RESPECTO DE REQUERIMIENTOS JURÍDICOS </t>
  </si>
  <si>
    <t>(Número de requerimientos jurídicos tramitados en el período) / (Número de requerimientos que ingresan a la Subsecretaría en el período)*100</t>
  </si>
  <si>
    <t>Porcentaje de requerimientos jurídicos</t>
  </si>
  <si>
    <t>Número de requerimientos jurídicos tramitados en el período</t>
  </si>
  <si>
    <t>Número de requerimientos que ingresan a la Subsecretaría en el período</t>
  </si>
  <si>
    <t>Corresponde a los requerimientos gestionados por la Subsecretaría durante el período de medición</t>
  </si>
  <si>
    <t>Corresponde a los requerimientos recibidos por la Subsecretaría Jurídica durante el período de medición</t>
  </si>
  <si>
    <t>Base de Excel administrada por la Subsecretaría Jurídica
SIGA</t>
  </si>
  <si>
    <t>N.D.</t>
  </si>
  <si>
    <t>TIC004</t>
  </si>
  <si>
    <t>PORCENTAJE DE DISPONIBILIDAD DE LOS SERVICIOS TECNOLÓGICOS</t>
  </si>
  <si>
    <t>GARANTIZAR LA DISPONIBILIDAD DE LOS SERVICIOS TECNOLÓGICOS DE LA ENTIDAD.</t>
  </si>
  <si>
    <t>(Número de horas en las cuales estuvieron disponibles los servicios tecnológicos) / (Total de horas 7/24 en el período)*100</t>
  </si>
  <si>
    <t>Horas</t>
  </si>
  <si>
    <t>Número de horas en las cuales estuvieron disponibles los servicios tecnológicos</t>
  </si>
  <si>
    <t>Total de horas 7/24 en el período</t>
  </si>
  <si>
    <t xml:space="preserve">Total de horas en las cuales estuvo disponible el servicio tecnológico HORAS DE SERVICIOS DISPONIBLES (Canal ETB- Correo Gsuite - servidores de dominio- servidores de aplicaciones misionales - servidores  administrativos -  bases de datos ORACLE. ) </t>
  </si>
  <si>
    <t>Número total de horas en el período de medición</t>
  </si>
  <si>
    <t>ANS de servicio</t>
  </si>
  <si>
    <t>PROFESIONAL UNIVERSATORIO</t>
  </si>
  <si>
    <t>Atender el 100% de los requerimientos reportados por los servidores de la Entidad</t>
  </si>
  <si>
    <t>TIC005</t>
  </si>
  <si>
    <t>Porcentaje de requerimientos de atención del servicio TIC</t>
  </si>
  <si>
    <t>GARANTIZAR LA ATENCIÓN DE LOS DISTINTOS REQUERIMIENTOS DE LOS USUARIOS FRENTE A TEMAS DE GESTIÓN DE INCIDENCIAS, PETICIONES Y PROBLEMAS DE LOS SERVICIOS TECNOLÓGICOS PRESENTADOS EN LOS EQUIPOS DE CÓMPUTO DE LA ENTIDAD.</t>
  </si>
  <si>
    <t>(Número de requerimientos atendidos) / (Número de requerimientos solicitados EN GLPI) *100</t>
  </si>
  <si>
    <t>Número de requerimientos atendidos (tickets)</t>
  </si>
  <si>
    <t>Número de tickets registrados en GLPI</t>
  </si>
  <si>
    <t>Corresponde a las solicitudes relacionadas con los equipos de cómputo, atendidas y resueltas por parte del equipo de soporte técnico del área TIC</t>
  </si>
  <si>
    <t xml:space="preserve">Son los requerimientos solicitados por los funcionarios relacionados los equipos de cómputo y registrados en el GLPI </t>
  </si>
  <si>
    <t>TECNICO OFICINA TIC</t>
  </si>
  <si>
    <t>TIC003</t>
  </si>
  <si>
    <t>Porcentaje de satisfacción en la prestación del servicio TIC</t>
  </si>
  <si>
    <t>MONITOREAR PERIÓDICAMENTE LA SATISFACCIÓN DEL USUARIO RESPECTO DEL SERVICIO PRESTADO</t>
  </si>
  <si>
    <t>(Total de encuestas con resultado satisfactorio / Total de encuestas diligenciadas)*100</t>
  </si>
  <si>
    <t>Encuestas</t>
  </si>
  <si>
    <t>Total de encuestas con resultado satisfactorio</t>
  </si>
  <si>
    <t>Total de encuestas diligenciadas</t>
  </si>
  <si>
    <t xml:space="preserve">Total de encuestas de atención calificadas en estado satisfactorio </t>
  </si>
  <si>
    <t>Total encuestas recibidas por parte de los usuarios</t>
  </si>
  <si>
    <t>Correo soporte@secretariajuridica
Tabulación encuestas</t>
  </si>
  <si>
    <t>20/04/2021 Pendiente la programación para la vigencia, la formula del indicador y las variables, revisar el objetivo</t>
  </si>
  <si>
    <t>TIC006</t>
  </si>
  <si>
    <t>Porcentaje de avance en la Implementación de la Política de Gobierno Digital en la SJD.</t>
  </si>
  <si>
    <t>MEDIR EL CUMPLIMIENTO DE LA IMPLEMENTACIÓN DE LA POLÍTICA DE GOBIERNO DIGITAL EN LA ENTIDAD</t>
  </si>
  <si>
    <t>(Número de actividades desarrolladas para dar cumplimiento a la Política de Gobierno Digital en el período) / (Número de actividades planificadas en el marco de la Política de Gobierno Digital en el período)*100</t>
  </si>
  <si>
    <t>Número de actividades desarrolladas para dar cumplimiento a la Política de Gobierno Digital en el período</t>
  </si>
  <si>
    <t>Número de actividades planificadas en el marco de la Política de Gobierno Digital en el período</t>
  </si>
  <si>
    <t>Corresponde a las actividades efectivamente desarrolladas para implementar la Política de Gobierno Digital</t>
  </si>
  <si>
    <t>Corresponde a las actividades programadas en el plan de trabajo de la política de Gobierno Digital</t>
  </si>
  <si>
    <t>Informes de avance del plan de trabajo</t>
  </si>
  <si>
    <t>Plan de trabajo política de Gobierno Digital</t>
  </si>
  <si>
    <t>DGJ003</t>
  </si>
  <si>
    <t>Porcentaje de procesos judiciales y extrajudiciales de la D.D.G.J. representados juridicamente por la D.D.G.J.</t>
  </si>
  <si>
    <t>MEDIR Y HACER SEGUIMIENTO A LAS ACTUACIONES PROCESALES ANTE LOS DESPACHOS JUDICIALES, LA PROYECCIÓN Y PRESENTACIÓN DE DOCUMENTOS NECESARIOS PARA LA ADECUADA REPRESENTACIÓN Y DEFENSA DE LOS INTERESES DEL D.C, LA ELABORACIÓN Y PRESENTACIÓN DE FICHAS O ESTUDIOS ANTE LOS COMITÉS DE CONCILIACIÓN, LA PRESENTACIÓN DE INFORMES Y REGISTRO DE TODOS LOS MOVIMIENTOS EN EL SISTEMA DE INFORMACIÓN DE PROCESOS JUDICIALES.</t>
  </si>
  <si>
    <t>(Sumatoria del número de procesos representados judicial y extrajudicialmente de la DDGJ / Total de procesos a representar en lo judicial y extrajudicialmente) *100</t>
  </si>
  <si>
    <t>Total de procesos registrados para que sean representados judicial y extrajudicialmente por la SJD</t>
  </si>
  <si>
    <t>Procesos entregados a los abogados, mediante poder para ejercer la representación judicial y extrajudicial del D.C.</t>
  </si>
  <si>
    <t>SIPROJWEB</t>
  </si>
  <si>
    <t>Informe de Gestión DDGJ 2020</t>
  </si>
  <si>
    <t xml:space="preserve">Realizar seguimiento a la información registrada en el aplicativo SIPROJ al 100% de las entidades distritales </t>
  </si>
  <si>
    <t>DDD-GJ01</t>
  </si>
  <si>
    <t xml:space="preserve">PORCENTAJE DE SEGUIMIENTOS REALIZADOS A LA INFORMACIÓN REGISTRADA EN EL SIPROJ AL 100% DE LAS ENTIDADES DISTRITALES </t>
  </si>
  <si>
    <t>HACER SEGUIMIENTO DE LA INFORMACIÓN  DE LOS PROCESOS JUDICIALES Y EXTAJUDICIALES REGISTRADA EN SIPROJ POR  CADA UNA DE LAS ENTIDADES DISTRITALES.</t>
  </si>
  <si>
    <t>(Sumatoria de seguimientos realizados a la información registrada en SIPROJ a las entidades distritales / Total de los seguimientos programados en la vigencia) *100</t>
  </si>
  <si>
    <t xml:space="preserve">Seguimientos </t>
  </si>
  <si>
    <t>Sumatoria de seguimientos realizados a la información registrada en SIPROJ a las entidades distritales</t>
  </si>
  <si>
    <t>Total de seguimientos programados en la vigencia</t>
  </si>
  <si>
    <t>Actividades de seguimiento a la información registrada a las entidades distritales en el sistema SIPROJ</t>
  </si>
  <si>
    <t>Total de las actividades programadas en el marco de los seguimientos de ka información registrada en SIPROJ, a las entidades distritales para el mejoramiento de la información</t>
  </si>
  <si>
    <t>Actas de compromiso y seguimiento de la información de cada una de las entidades distritales</t>
  </si>
  <si>
    <t>Circular con cronograma de mesas de trabajo - Actas de reunión</t>
  </si>
  <si>
    <t>Director(a) de Gestión Judicial</t>
  </si>
  <si>
    <t>Atender el 100% de las solicitudes de revisión de legalidad de proyectos de actos administrativos para firma de la Alcaldesa mayor</t>
  </si>
  <si>
    <t>DAN003</t>
  </si>
  <si>
    <t>Porcentaje de solicitudes de revisión de legalidad de proyectos de actos administrativos para firma de la alcaldesa mayor</t>
  </si>
  <si>
    <t>REALIZAR SEGUIMIENTO AL PORCENTAJE DE REVISIONES DE LEGALIDAD A LOS PROYECTOS DE ACTOS ADMINISTRATIVOS PARA FIRMA DE LA ALCALDESA MAYOR.</t>
  </si>
  <si>
    <t>Actos con revisión de legalidad</t>
  </si>
  <si>
    <t>Sumatoria del número de solicitudes para revisión de legalidad recibidas en el período</t>
  </si>
  <si>
    <t>Corresponde al total de actos administrativos que cuentan con revisión de legalidad</t>
  </si>
  <si>
    <t>Corresponde al total de solicitudes de revisión de legalidad recibidas por la SJD y que son efectuadas por el sector central y descentralizado del Distrito Capital</t>
  </si>
  <si>
    <t>SIGA
Matriz de seguimiento
LEGALBOG</t>
  </si>
  <si>
    <t>Adelantar el 100% de las gestiones enmarcadas en el proceso de Planeación y Mejora Continua.</t>
  </si>
  <si>
    <t>OAP3</t>
  </si>
  <si>
    <t>NIVEL DE SATISFACCIÓN DE LAS ASESORÍAS BRINDADAS A LAS DEPENDENCIAS DE LA SECRETARÍA JURÍDICA DISTRITAL, EN TEMAS LIDERADOS POR LA OFICINA ASESORA DE PLANEACIÓN</t>
  </si>
  <si>
    <t>(Número de encuestas con resultado, satisfecho y muy satisfecho/ Número total de encuestados en el trimestre)*100</t>
  </si>
  <si>
    <t>Asesorías</t>
  </si>
  <si>
    <t>Sumatoria del número de encuestas con resultado satisfecho y muy satisfecho.</t>
  </si>
  <si>
    <t xml:space="preserve">Total de encuestados en el periodo. </t>
  </si>
  <si>
    <t xml:space="preserve">Corresponde al total de las asesorías realizadas en el período, calificadas con resultado satisfecho y muy satisfecho. </t>
  </si>
  <si>
    <t>Corresponde al total de encuestas diligenciadas por las dependencias en el período</t>
  </si>
  <si>
    <t>Encuesta de Satisfacción Asesoría</t>
  </si>
  <si>
    <t>CONTRATISTA OAP</t>
  </si>
  <si>
    <t>Porcentaje de requerimientos atendidos</t>
  </si>
  <si>
    <t xml:space="preserve">MEDIR LA EFICACIA DE LA ATENCIÓN A LOS REQUERIMIENTOS ASIGNADOS A LA OFICINA ASESORA DE PLANEACIÓN MEDIANTE EL CONTROL DE LOS RADICADOS DOCUMENTALES  PARA CUMPLIR CON LAS FUNCIONES ASIGNADAS A LA DEPENDENCIA. </t>
  </si>
  <si>
    <t>(Requerimientos atendidos en el periodo /  Requerimientos recibidos en el periodo)*100</t>
  </si>
  <si>
    <t>Requerimientos</t>
  </si>
  <si>
    <t>Total de requerimientos atendidos en el período</t>
  </si>
  <si>
    <t>Total de requerimiento recibidos en el período</t>
  </si>
  <si>
    <t>Corresponde al total de requerimientos atendidos en el periodo por medio de gestión documental</t>
  </si>
  <si>
    <t>Corresponde al total de requerimientos recibidos en el periodo por medio de gestión documental</t>
  </si>
  <si>
    <t>Sistema de Gestión Documental</t>
  </si>
  <si>
    <t>LUIS ALEJANDRO ÁVILA</t>
  </si>
  <si>
    <t>OAP001</t>
  </si>
  <si>
    <t>Número de jornadas del conocimiento desarrolladas por la Oficina Asesora de Planeación</t>
  </si>
  <si>
    <t>REGISTRAR LAS SESIONES ORIENTADAS A FORTALECER LA GESTIÓN DEL CONOCIMIENTO DE LA OAP</t>
  </si>
  <si>
    <t>Sumatoria de sesiones realizadas para fortalecer la gestión del conocimiento en la OAP</t>
  </si>
  <si>
    <t>Sesiones</t>
  </si>
  <si>
    <t>Corresponde a las actividades y estrategias de orientación orientadas a fortalecer los conocimiento de la OAP</t>
  </si>
  <si>
    <t>Informes de gestión de la OAP</t>
  </si>
  <si>
    <t>OAP4</t>
  </si>
  <si>
    <t>Oportunidad en la elaboración y presentación de planes, reportes e informes de la OAP</t>
  </si>
  <si>
    <t>Gestionar oportunamente la elaboración y presentación de los planes, reportes e informes correspondientes a la Oficina Asesora de Planeación; mediante el control de los términos legales y reglamentarios vigentes máximos del reporte; para el cumplimiento de las funciones de la dependencia.</t>
  </si>
  <si>
    <t>Días</t>
  </si>
  <si>
    <t xml:space="preserve">Corresponde al tiempo promedio  utilizado para entregar los planes, tomando como referencia lo pactado. </t>
  </si>
  <si>
    <t xml:space="preserve">Cumplir con el 100% del Plan Anual de Auditorias
</t>
  </si>
  <si>
    <t>OFICINA DE CONTROL INTERNO</t>
  </si>
  <si>
    <t>OCI001</t>
  </si>
  <si>
    <t>PORCENTAJE DE CUMPLIMIENTO DEL PLAN ANUAL DE AUDITORIA</t>
  </si>
  <si>
    <t>MEDIR EL NIVEL DE CUMPLIMIENTO DEL PLAN ANUAL DE AUDITORÍA</t>
  </si>
  <si>
    <t>EVALUACIÓN INDEPENDIENTE</t>
  </si>
  <si>
    <t>(Sumatoria de las actividades del plan anual de auditoría realizada en el período  /
Total de actividades programadas en el Plan Anual de Auditoría)*100</t>
  </si>
  <si>
    <t xml:space="preserve">Sumatoria de las actividades del plan anual de auditoría realizada en el período </t>
  </si>
  <si>
    <t>Total de actividades programadas en el Plan Anual de Auditoría</t>
  </si>
  <si>
    <t>Corresponde a la cantidad de actividades del plan anual de auditoría ejecutadas en el período</t>
  </si>
  <si>
    <t>Informe de actividades</t>
  </si>
  <si>
    <t>Plan Anual de Auditoría</t>
  </si>
  <si>
    <t>PROFESIONAL UNIVERSITARIO 10</t>
  </si>
  <si>
    <t>PROFESIONAL ESPECIALZIADO GRADO 24</t>
  </si>
  <si>
    <t>JEFE OFICINA DE CONTROL INTERNO</t>
  </si>
  <si>
    <t>Revisar la Resolución 057 es de marzo, revisar el entregable</t>
  </si>
  <si>
    <t>Optimizar la revisión y evaluación de los asuntos disciplinarios a cargo o en comisión de la Dirección Distrital de Asuntos Disciplinarios</t>
  </si>
  <si>
    <t>DAD001</t>
  </si>
  <si>
    <t xml:space="preserve">Número de procesos disciplinarios evaluados una vez vencido el término de la etapa procesal. </t>
  </si>
  <si>
    <t>Evaluar al 100% los procesos disciplinarios una vez vencido el término de la etapa procesal; mediante el análisis de las actuaciones, con el fin de dar inicio a la etapa de investigación, juicio disciplinario o archivo del mismo.</t>
  </si>
  <si>
    <t>CONTROL INTERNO DISCIPLINARIO</t>
  </si>
  <si>
    <t xml:space="preserve">Número de procesos disciplinarios evaluados una vez vencido el término de la etapa procesal.
/Números de procesos disciplinarios por evaluar una vez vencido el término de la etapa procesal. </t>
  </si>
  <si>
    <t>Número de procesos disciplinarios</t>
  </si>
  <si>
    <t>Número de procesos disciplinarios evaluados una vez vencido el término de la etapa procesal.</t>
  </si>
  <si>
    <t xml:space="preserve">Números de procesos disciplinarios por evaluar una vez vencido el término de la etapa procesal. </t>
  </si>
  <si>
    <t>Corresponde a los procesos disciplinarios  evaluados una vez vencido el término de la etapa procesal que pueden dar inicio a la investigación disciplinaria</t>
  </si>
  <si>
    <t>Corresponde a los procesos disciplinarios  por evaluar una vez vencido el término de la etapa procesal que pueden dar inicio a la investigación disciplinaria</t>
  </si>
  <si>
    <t>Reporte de gestión</t>
  </si>
  <si>
    <t>84</t>
  </si>
  <si>
    <t>Gestión  DDAD 2021</t>
  </si>
  <si>
    <t>*RADICADO  3-2021-2241 Y CORREO ELECTRÓNICO DEL 31 DE MARZO
* MEDIANTE RADICADO 3-2021-3786 SE REDUCE LA MAGNITUD DE LA META (26 DE MAYO DE 2021)</t>
  </si>
  <si>
    <t>Proferir decisiones que definen las actuaciones administrativas en un promedio de 18 meses</t>
  </si>
  <si>
    <t>IVC001</t>
  </si>
  <si>
    <t>Promedio de duración de las actuaciones administrativas contra las ESAL</t>
  </si>
  <si>
    <t>ESTABLECER UN TIEMPO PROMEDIO PARA LOS PROCESOS ADMINISTRATIVOS SANCIONATORIOS QUE SE ADELANTAN EN LA DIRECCIÓN DISTRITAL DE INSPECCIÓN, VIGILANCIA Y CONTROL (EL INDICADOR SE REGISTRA A PARTIR DEL 1 DE JULIO DE 2021).</t>
  </si>
  <si>
    <t>(Sumatoria de los tiempos de duración de las actuaciones administrativas contra las ESAL, en el período) / (Total de actuaciones administrativas con decisión definitiva, realizadas en el período) *100</t>
  </si>
  <si>
    <t>Meses</t>
  </si>
  <si>
    <t>Sumatoria de los tiempos de duración de las actuaciones administrativas contra las ESAL en el período</t>
  </si>
  <si>
    <t>Total de actuaciones administrativas finalizadas en el período</t>
  </si>
  <si>
    <t>Suma de los tiempos de los tiempos de duración  en meses, de todas las decisiones administrativas proferidas durante el período. Las fechas de inicio de las actuaciones administrativas contra las ESAL se toman con fecha de expedición del acto administrativo con el cual se inicia dicha actuación  (auto de averiguación preliminar  o formulación de cargos), y la fecha final es la del acto administrativo, por el cual se profiere la decisión definitiva de la actuación administrativa (Auto o resolución)</t>
  </si>
  <si>
    <t>Número de actuaciones administrativas con decisión definitiva, realizadas en el período.</t>
  </si>
  <si>
    <t>Base de datos de las actuaciones administrativas iniciadas a partir del 1 de enero de 2020</t>
  </si>
  <si>
    <t>No hay un dato reportado oficialmente, pero se estima que actualmente el promedio de terminación de los procesos es de 24 meses.</t>
  </si>
  <si>
    <t>DIRECTOR (A)</t>
  </si>
  <si>
    <t>Expedir en un tiempo promedio de 10 días hábiles las solicitudes de certificación de inspección, vigilancia y control.</t>
  </si>
  <si>
    <t>IVC003</t>
  </si>
  <si>
    <t>Tiempo promedio de expedición de los certificados de IVC competencia de la Secretaría Juridica Distrital.</t>
  </si>
  <si>
    <t>EXPEDIR EN UN TIEMPO PROMEDIO DE 10 DÍAS HÁBILES LAS SOLICITUDES DE LAS CERTIFICACIONES DE INSPECCIÓN, VIGILANCIA Y CONTROL.</t>
  </si>
  <si>
    <t>(Sumatoria del tiempo de respuesta de las solicitudes de certificación de inspección, vigilancia y control e el período) / (Total de certificados de inspección, vigilancia y control de la Dirección de Inspección Vigilancia y Control expedidos durante el período)</t>
  </si>
  <si>
    <t xml:space="preserve"> Tiempos de expedición de los certificados de IVC</t>
  </si>
  <si>
    <t>Sumatoria del tiempo de respuesta de las solicitudes de certificación de inspección, vigilancia y control en el período</t>
  </si>
  <si>
    <t>Total de certificados de inspección, vigilancia a y control, competencia de la Dirección Distrital de Inspección, Vigilancia y Control expedidos durante el período</t>
  </si>
  <si>
    <t>Se toma como fecha inicial el radicado de la solicitud del ciudadano de los certificados de inspección, vigilancia y control que son competencia de la Dirección de IVC y la fecha de expedición del certificado de inspección, vigilancia y control de las ESAL y se suman los tiempos transcurridos en cada uno de los certificados expedidos durante el período</t>
  </si>
  <si>
    <t>Corresponde al total de certificados que se expiden en el período</t>
  </si>
  <si>
    <t>Base de datos de certificados de inspección, vigilancia y control</t>
  </si>
  <si>
    <t>Resolver el 100% de los recursos de reposición interpuestos en contra de las decisiones proferidas por la Dirección Distrital de Inspección, Vigilancia y Control, en un tiempo promedio de 3 meses.</t>
  </si>
  <si>
    <t>IVC004</t>
  </si>
  <si>
    <t xml:space="preserve">Porcentaje de actos administrativos que resuelven recursos de reposición presentados en contra de las decisiones proferidas por la Dirección Distrital de Inspección, vigilancia y control de las ESAL, en un tiempo promedio de 3 meses. </t>
  </si>
  <si>
    <t>ADELANTAR LAS GESTIONES ADMINISTRATIVAS Y JURÍDICAS PARA DAR RESPUESTA A LOS RECURSOS DE REPOSICIÓN PRESENTADOS EN UN TIEMPO PROMEDIO DE 3 MESES.</t>
  </si>
  <si>
    <t>(Total de resoluciones proferidas que resuelven los recursos de reposición interpuestos en contra de las decisiones administrativas de la Dirección Distrital de IVC en un tiempo máximo de tres meses, durante el período/ Total de resoluciones proferidas que resuelven los recursos de reposición interpuestos en contra de las decisiones administrativas de las Dirección de IVC en el período)*100</t>
  </si>
  <si>
    <t>% de resoluciones emitidas en tiempo máximo de 3 meses</t>
  </si>
  <si>
    <t>Total de resoluciones proferidas que resuelven los recursos de reposición interpuestos en contra de la decisiones administrativas de la Dirección Distrital de IVC, en un tiempo máximo detrás meses, durante el período</t>
  </si>
  <si>
    <t>Total de resoluciones proferidas que resuelven los recursos de reposición interpuestos en contra de las decisiones administrativas de la Dirección de IVC, en el período</t>
  </si>
  <si>
    <t>Corresponde al total de resoluciones que resuelven los recursos de reposición, proferidas en un tiempo máximo de tres (3) meses</t>
  </si>
  <si>
    <t>Corresponde al total de resoluciones que resuelven los recursos de reposición, proferidas</t>
  </si>
  <si>
    <t>Base de datos de actuaciones administrativas contra las ESAL</t>
  </si>
  <si>
    <t>Actualización de 47 disposiciones normativas incorporadas en el sistema de información Régimen Legal de Bogotá.</t>
  </si>
  <si>
    <t>DPJ006</t>
  </si>
  <si>
    <t>Número de disposiciones normativas actualizadas en Régimen Legal de Bogotá</t>
  </si>
  <si>
    <t>VERIFICAR EL NÚMERO DE DISPOSICIONES NORMATIVAS ACTUALIZADAS EN RÉGIMEN LEGAL DE BOGOTÁ</t>
  </si>
  <si>
    <t>Sumatoria de las disposiciones normativas actualizadas en Régimen Legal de Bogotá en el período</t>
  </si>
  <si>
    <t>Disposiciones normativas</t>
  </si>
  <si>
    <t>Sumatoria de las disposiciones normativas actualizadas en Régimen Legal de Bogotá</t>
  </si>
  <si>
    <t>Corresponde a la cantidad de disposiciones normativas actualizadas en Régimen Legal</t>
  </si>
  <si>
    <t>Informe mensual de Régimen Legal Bogotá</t>
  </si>
  <si>
    <t xml:space="preserve">PROFESIONAL UNIVERSITARIO </t>
  </si>
  <si>
    <t>Para el mes de abril se ajusta el valor de abril de 6,75 a 0 en la ejecución. Aprueba el jefe de la OAP,  ver justificación enviada por la dependencia</t>
  </si>
  <si>
    <t>Elaborar 7 Lineamientos orientados a la mejora de las prácticas de contratación en el Distrito y en materia jurídica de interés para el Distrito Capital.</t>
  </si>
  <si>
    <t>DPJ007</t>
  </si>
  <si>
    <t>Número de lineamientos o directivas en materia de contratación y demás temas jurídicos</t>
  </si>
  <si>
    <t>VERIFICAR LA CANTIDAD DE LINEAMIENTOS  O DIRECTIVAS EN MATERIA DE CONTRATACIÓN Y DEMÁS TEMAS JURÍDICOS</t>
  </si>
  <si>
    <t>Sumatoria de lineamientos o directivas en materia de contratación y demás temas jurídicos en el período</t>
  </si>
  <si>
    <t>Lineamientos</t>
  </si>
  <si>
    <t>Corresponde a los lineamientos generados que sean de impacto para el Distrito Capital</t>
  </si>
  <si>
    <t>Sistema de Información Régimen Legal de Bogotá</t>
  </si>
  <si>
    <t>DPJ002</t>
  </si>
  <si>
    <t>Porcentaje de incorporación y divulgación de la información jurídica en los sistemas de información jurídica</t>
  </si>
  <si>
    <t>CONTROLAR EL CUMPLIMIENTO DE INCORPORACIÓN DE NORMATIVIDAD AL APLICATIVO REGIMEN LEGAL</t>
  </si>
  <si>
    <t>(Sumatoria de normas incorporadas a Régimen Legal/  Total de normas que se deben incorporar a Régimen Legal)*100</t>
  </si>
  <si>
    <t xml:space="preserve">% de normas </t>
  </si>
  <si>
    <t>Sumatoria de normas incorporadas a Régimen Legal</t>
  </si>
  <si>
    <t>Total de normas que se deben incorporar a Régimen Legal</t>
  </si>
  <si>
    <t>Corresponde al total de normas que se incluyen en Régimen Legal, en el período</t>
  </si>
  <si>
    <t>Corresponde al total de normas que deben incluirse en Régimen Legal, en el período</t>
  </si>
  <si>
    <t>Régimen Legal</t>
  </si>
  <si>
    <t>DPJ010</t>
  </si>
  <si>
    <t>Porcentaje de participación en actividades de políticas públicas</t>
  </si>
  <si>
    <t>Sumatoria del número total de actividades ejecutadas relacionadas con las políticas publicas y las actividades ejecutadas relacionadas con instancias de coordinación en el trimestre</t>
  </si>
  <si>
    <t>Sumatoria del número total de actividades relacionadas con las políticas publicas programadas y por demanda y las actividades relacionadas con instancias de coordinación en el trimestre</t>
  </si>
  <si>
    <t xml:space="preserve">Corresponde al total de actividades ejecutadas relacionadas con las políticas publicas e instancias de coordinación </t>
  </si>
  <si>
    <t>Corresponde al total de actividades programadas y solicitadas por demanda que se encuentran relacionadas con las políticas publicas e instancias de coordinación</t>
  </si>
  <si>
    <t xml:space="preserve">Formularios de registro de las actividades solicitadas y programadas
Informe y seguimiento instancias de Coordinación 
Sistema de Información Documental </t>
  </si>
  <si>
    <t>DPJ011</t>
  </si>
  <si>
    <t>Porcentaje de participación activa en instancias de coordinación</t>
  </si>
  <si>
    <t>Participaciones activas
en instancias de
coordinación</t>
  </si>
  <si>
    <t>Sumatoria del número de participaciones activas
en las instancias de coordinación el trimestre</t>
  </si>
  <si>
    <t>Sumatoria del número total de instancias de
coordinación el trimestre</t>
  </si>
  <si>
    <t>Corresponde al número total de
instancias de coordinación en las que
se participó activamente</t>
  </si>
  <si>
    <t>Corresponde al número total de
instancias en las que participamos por
delegación y por invitación.</t>
  </si>
  <si>
    <t>Formularios de registro de las
actividades solicitadas y
programadas
Informe y seguimiento instancias de
Coordinación
Sistema de Información Documental</t>
  </si>
  <si>
    <t xml:space="preserve">Realizar 10 jornadas de orientación jurídica para el cuerpo de abogados del D.C. </t>
  </si>
  <si>
    <t>NÚMERO DE JORNADAS DE ORIENTACIÓN JURÍDICA PARA EL CUERPO DE ABOGADOS EN EL D.C</t>
  </si>
  <si>
    <t>Realizar jornadas de orientación jurídica para el cuerpo de abogados en el Distrito Capital</t>
  </si>
  <si>
    <t>Sumatoria del número de jornadas de
orientación jurídica para el cuerpo de
abogados del D.C.</t>
  </si>
  <si>
    <t># Jornadas de
orientación</t>
  </si>
  <si>
    <t xml:space="preserve">Sumatoria del número de jornadas de
orientación jurídica para el cuerpo de
abogados del D.C. </t>
  </si>
  <si>
    <t>Brindar atención oportuna a los requerimientos presentados por la ciudadanía.</t>
  </si>
  <si>
    <t>DIRECCIÓN DE GESTIÓN CORPORATIVA</t>
  </si>
  <si>
    <t>DGC005</t>
  </si>
  <si>
    <t>Porcentaje de requerimientos gestionados oportunamente</t>
  </si>
  <si>
    <t>Gestionar oportunamente los requerimientos presentados por la ciudadanía través del sistema distrital para la gestión de peticiones ciudadanas Bogotá te Escucha, a términos de contribuir a una respuesta eficaz por parte de las dependencias competentes para el efecto.</t>
  </si>
  <si>
    <t>ATENCIÓN A LA CIUDADANÍA</t>
  </si>
  <si>
    <t>(Sumatoria de requerimientos gestionados oportunamente/ Sumatoria de requerimientos radicados)* 100</t>
  </si>
  <si>
    <t>Requerimientos gestionados oportunamente en el trimestre</t>
  </si>
  <si>
    <t>Requerimientos radicados en el trimestre</t>
  </si>
  <si>
    <t>Corresponde a los requerimientos gestionados oportunamente (corresponde al análisis, asignación o traslado de la PQRS según corresponda)</t>
  </si>
  <si>
    <t>Corresponde a los requerimientos radicados a la entidad a través del canal Bogotá te Escucha</t>
  </si>
  <si>
    <t>Reporte Bogotá te escucha</t>
  </si>
  <si>
    <t>CONTRATISTA - Jesica Alejandra Sierra Rabia</t>
  </si>
  <si>
    <t>CONTRATISTA - José Francisco Arias Pachón</t>
  </si>
  <si>
    <t>Director(a) de Gestión Corporativa</t>
  </si>
  <si>
    <t>Verificar que el 100% la totalidad de información generada por los dependencias que participan en el proceso contable se vea reflejada en los estados financieros de la entidad.</t>
  </si>
  <si>
    <t>DGC011</t>
  </si>
  <si>
    <t>Información contable conciliada - Información de los Estados Financieros Conciliada</t>
  </si>
  <si>
    <t>Verificar que el 100% de la información generada por las dependencias que participan en el proceso contable se vea reflejada en los estados financieros de la Entidad, a través del cumplimiento del plan de conciliaciones programadas para la vigencia, con el propósito de contar con información confiable y oportuna.</t>
  </si>
  <si>
    <t>GESTIÓN FINANCIERA</t>
  </si>
  <si>
    <t>(Sumatoria de las conciliaciones formalizadas en el trimestre /
Conciliaciones programadas para el trimestre)*100</t>
  </si>
  <si>
    <t>Porcentaje</t>
  </si>
  <si>
    <t>Numero de conciliaciones elaboradas y firmadas por las áreas</t>
  </si>
  <si>
    <t>Numero de conciliaciones programado dentro del plan del Proceso de Gestión Financiera</t>
  </si>
  <si>
    <t>Corresponde al total de conciliaciones elaboradas y firmadas durante el período objeto de evaluación.</t>
  </si>
  <si>
    <t>Corresponde al total de conciliaciones programadas por el Proceso de Gestión Financiera para el período objeto de evaluación.</t>
  </si>
  <si>
    <t>Conciliaciones elaboradas y firmadas, las cuales son archivadas por el proceso de Gestión Financiera - Contabilidad.</t>
  </si>
  <si>
    <t>Informe de conciliaciones programadas para el período objeto de evaluación.</t>
  </si>
  <si>
    <t>Lograr comprometer el 96% de los recursos asignados a la Secretaría Jurídica Distrital.</t>
  </si>
  <si>
    <t>DGC012</t>
  </si>
  <si>
    <t>Porcentaje de ejecución presupuestal en términos del total comprometido.</t>
  </si>
  <si>
    <t>(Presupuesto comprometido/ Presupuesto vigente)*100</t>
  </si>
  <si>
    <t>Presupuesto</t>
  </si>
  <si>
    <t>Presupuesto comprometido</t>
  </si>
  <si>
    <t>Presupuesto vigente</t>
  </si>
  <si>
    <t>Corresponde al total de recursos comprometidos</t>
  </si>
  <si>
    <t>Corresponde a la apropiación vigente compuesta por recursos de inversión y funcionamiento</t>
  </si>
  <si>
    <t>Informe de ejecución presupuestal</t>
  </si>
  <si>
    <t>Gestionar el 100% de los actos administrativos que se Publican, comunican y/o notifican  dentro de los términos legales vigentes</t>
  </si>
  <si>
    <t>DGC8</t>
  </si>
  <si>
    <t>Oportunidad en la notificación de los actos administrativos</t>
  </si>
  <si>
    <t>NOTIFICACIONES</t>
  </si>
  <si>
    <t>Número de actos administrativos que se publican, comunican y/o notifican dentro de los términos legales vigentes en el trimestre/ Número total de actos administrativos solicitados para publicar, comunicar y/o notificar en el trimestre)*100</t>
  </si>
  <si>
    <t>Actos administrativos</t>
  </si>
  <si>
    <t>Número total de actos administrativos que se publican, comunican y/o notifican en los términos de ley en el trimestre</t>
  </si>
  <si>
    <t>Número total de actos administrativos solicitados para publicar, comunicar y/o notificar en el trimestre</t>
  </si>
  <si>
    <t>Corresponde a los actos administrativos que durante el trimestre se publican, comunican y/o notifican en los tiempos definidos en los términos de ley</t>
  </si>
  <si>
    <t>Corresponden al total de actos administrativos que durante el trimestre son remitidos a la Dirección para su publicación, comunicación y/o notificación</t>
  </si>
  <si>
    <t>Base de datos de actos administrativos</t>
  </si>
  <si>
    <t>Ejecutar el 90% del Programa de Gestión Documental - PGD para la vigencia 2022</t>
  </si>
  <si>
    <t>DGC7</t>
  </si>
  <si>
    <t>Porcentaje de ejecución del Programa de Gestión Documental - PGD</t>
  </si>
  <si>
    <t>GESTIÓN DOCUMENTAL</t>
  </si>
  <si>
    <t>(Número de actividades del cronograma de implementación del Programa de Gestión Documental - PGD realizadas / Número de actividades del cronograma de implementación del Programa de Gestión Documental - PGD programadas)*100</t>
  </si>
  <si>
    <t>Número de actividades</t>
  </si>
  <si>
    <t xml:space="preserve"> Actividades del cronograma de implementación del Programa de Gestión Documental - PGD vigencia 2022 realizadas</t>
  </si>
  <si>
    <t xml:space="preserve"> Actividades del cronograma de implementación del Programa de Gestión Documental - PGD vigencia 2022 programadas</t>
  </si>
  <si>
    <t>Corresponde a las actividades ejecutadas en cumplimiento del cronograma de implementación Programa de Gestión Documental - PGD vigencia 2022</t>
  </si>
  <si>
    <t>Corresponde a las actividades programadas en el cronograma de implementación Programa de Gestión Documental - PGD vigencia 2022</t>
  </si>
  <si>
    <t>Cronograma de implementación Programa de Gestión Documental - PGD vigencia 2022</t>
  </si>
  <si>
    <t>Garantizar la completitud del 100% de información correspondiente a la declaración de conflicto de interés de funcionarios de la Entidad.</t>
  </si>
  <si>
    <t>DGC6</t>
  </si>
  <si>
    <t>Porcentaje de funcionarios con Declaraciones de Conflictos de Interés presentada</t>
  </si>
  <si>
    <t>GESTIÓN DEL TALENTO HUMANO</t>
  </si>
  <si>
    <t>Número de declaración de conflicto de interés</t>
  </si>
  <si>
    <t>Número de Declaraciones de conflicto de interés entregadas</t>
  </si>
  <si>
    <t>Total de Funcionarios en planta</t>
  </si>
  <si>
    <t>Declaraciones de conflicto de interés registrada por los funcionarios de la SJD en el aplicativo SIDEAP del DASCD y reportadas a la Dirección de Gestión Corporativa</t>
  </si>
  <si>
    <t>Total de funcionarios vinculados en la Entidad y pertenecientes a la planta de personal de la SJD</t>
  </si>
  <si>
    <t>Aplicativo SIDEAP y reportes entregados a la Dirección de Gestión Corporativa</t>
  </si>
  <si>
    <t>Proceso de Gestión del Talento Humano</t>
  </si>
  <si>
    <t xml:space="preserve">Ejecutar el 100% del Plan Institucional de capacitación. </t>
  </si>
  <si>
    <t>DGC3</t>
  </si>
  <si>
    <t>Porcentaje de actividades del Plan Institucional de Capacitaciones ejecutadas</t>
  </si>
  <si>
    <t>Medir la ejecución de las actividades del Plan Institucional de Capacitación, mediante el seguimiento continuo al cronograma establecido, con el propósito de mejorar la calidad de la gestión institucional.</t>
  </si>
  <si>
    <t>(Numero de actividades ejecutadas /total de actividades programadas)*100</t>
  </si>
  <si>
    <t>Numero de actividades</t>
  </si>
  <si>
    <t>Numero de actividades ejecutadas</t>
  </si>
  <si>
    <t>Total de actividades programadas</t>
  </si>
  <si>
    <t>Número de actividades del Plan Institucional de Capacitaciones ejecutadas dentro del trimestre a evaluar</t>
  </si>
  <si>
    <t>Total de actividades programadas en el Plan Institucional de Capacitaciones durante el trimestre a evaluar</t>
  </si>
  <si>
    <t>Matriz de seguimiento del cronograma establecido</t>
  </si>
  <si>
    <t>Plan Institucional de Capacitación</t>
  </si>
  <si>
    <t>DGC4</t>
  </si>
  <si>
    <t>Porcentaje de actividades del Plan de Bienestar e Incentivos ejecutadas</t>
  </si>
  <si>
    <t>Medir la ejecución de las actividades del Plan de Bienestar e Incentivos, mediante el seguimiento continuo al cronograma establecido, con el propósito de mejorar la calidad de la gestión institucional.</t>
  </si>
  <si>
    <t>Número de actividades del Plan de Bienestar e Incentivos ejecutadas dentro del trimestre a evaluar</t>
  </si>
  <si>
    <t>Total de actividades programadas en el Plan de Bienestar e Incentivos durante el trimestre a evaluar</t>
  </si>
  <si>
    <t>Plan de Bienestar e Incentivos</t>
  </si>
  <si>
    <t>Realizar la evaluación y medición del impacto del 100% de las actividades realizadas con recursos de la Entidad en el marco del Plan Institucional de Capacitación.</t>
  </si>
  <si>
    <t>DGC5</t>
  </si>
  <si>
    <t>Porcentaje de actividades del Plan Institucional de Capacitaciones con medición de impacto</t>
  </si>
  <si>
    <t>Medir la ejecución de las actividades con medición de impacto del Plan Institucional de Capacitación, mediante el seguimiento continuo al cronograma establecido, con el propósito de mejorar la calidad de la gestión institucional.</t>
  </si>
  <si>
    <t>(Numero de actividades con medición de impacto/ total de actividades programadas)*100</t>
  </si>
  <si>
    <t>Numero de actividades con medición de impacto</t>
  </si>
  <si>
    <t>Número de actividades del Plan Institucional de Capacitaciones a las que se le aplico la medición del impacto durante el trimestre a evaluar</t>
  </si>
  <si>
    <t>Garantizar el 100% de la publicación de los requisitos de perfeccionamiento de los contratos suscritos por la Entidad en la plataforma SECOP II.</t>
  </si>
  <si>
    <t>DGC003</t>
  </si>
  <si>
    <t>PORCENTAJE DE CONTRATOS EN EJECUCIÓN  PUBLICADOS EN SECOP II</t>
  </si>
  <si>
    <t>GESTIÓN CONTRACTUAL</t>
  </si>
  <si>
    <t>(Contratos de prestación de servicios profesionales y/o apoyo a la gestión con requisitos de perfeccionamiento cumplidos/ contratos de prestación de servicios profesionales y/o apoyo a la gestión publicados en SECOP II)*100</t>
  </si>
  <si>
    <t>Contratos de prestación de servicios profesionales y/o apoyo a la gestión</t>
  </si>
  <si>
    <t>Contratos de prestación de servicios profesionales y/o apoyo a la gestión con requisitos de perfeccionamiento suscritos y publicados en SECOP II</t>
  </si>
  <si>
    <t>Contratos de prestación de servicios profesionales y/o apoyo a la gestión publicados en SECOP II</t>
  </si>
  <si>
    <t>Contratos con requisitos de perfeccionamiento suscritos y cuyos documentos se han publicado en su totalidad</t>
  </si>
  <si>
    <t>Corresponde a la cantidad de contratos de prestación de servicios profesionales y/o apoyo a la gestión que en el período llegan hasta la etapa de suscripción de la minuta o documento de clausulado</t>
  </si>
  <si>
    <t>SECOP II</t>
  </si>
  <si>
    <t>Reporte de contratos suscritos en el período</t>
  </si>
  <si>
    <t>POAI 2021</t>
  </si>
  <si>
    <t>Garantizar el 100% la publicación de las órdenes de pago de los contratos suscritos por la Entidad en la plataforma SECOP II.</t>
  </si>
  <si>
    <t>DGC004</t>
  </si>
  <si>
    <t>Porcentaje de órdenes de pago publicadas en SECOP II</t>
  </si>
  <si>
    <t>(Número de órdenes de pago publicadas en SECOP II/ número de trámites de pago efectivos de contratos suscritos en SECOP II radicados durante el periodo)*100</t>
  </si>
  <si>
    <t>Órdenes de pago publicadas</t>
  </si>
  <si>
    <t>Órdenes de pago publicadas en SECOP II</t>
  </si>
  <si>
    <t>Trámites de pago efectivos de contratos suscritos en SECOP II radicados durante el periodo</t>
  </si>
  <si>
    <t xml:space="preserve">Corresponde a las ordenes de pago publicadas en SECOP II en el numeral 7 denominado Plan de Pagos de cada uno de los contratos </t>
  </si>
  <si>
    <t>Corresponde a la cantidad de tramites de pago efectivos de contratos suscritos en SECOP II, radicados durante el trimestre a reportar</t>
  </si>
  <si>
    <t>Base de datos de trámites radicados durante el trimestre</t>
  </si>
  <si>
    <t>Garantizar el 100% de la ejecución del plan de trabajo establecido para las mejoras en el sistema de información de inventarios.</t>
  </si>
  <si>
    <t>DGC2</t>
  </si>
  <si>
    <t>Porcentaje de ejecución del plan de trabajo para la implementación de mejoras del sistema de información de inventarios</t>
  </si>
  <si>
    <t>Ejecutar las actividades del plan de trabajo establecido para la mejora en el sistema de información de inventarios, mediante el seguimiento continuo al cronograma.</t>
  </si>
  <si>
    <t>GESTIÓN ADMINISTRATIVA</t>
  </si>
  <si>
    <t>(Número de actividades del cronograma de implementación de mejora del sistema de información de inventarios ejecutadas / Número de actividades del cronograma de implementación de mejora del sistema de información de inventarios programadas)*100</t>
  </si>
  <si>
    <t xml:space="preserve"> Actividades del cronograma de implementación de mejora del sistema de información de inventarios ejecutadas en el trimestre a evaluar</t>
  </si>
  <si>
    <t xml:space="preserve"> Actividades del cronograma de implementación de mejora del sistema de información de inventarios programadas para el trimestre a evaluar</t>
  </si>
  <si>
    <t>Corresponde a las actividades ejecutadas en cumplimiento del cronograma de implementación de mejora del sistema de información de inventarios</t>
  </si>
  <si>
    <t>Corresponde a las actividades programadas en el cronograma de implementación de mejora del sistema de información de inventarios</t>
  </si>
  <si>
    <t>Cronograma de implementación de mejora del sistema de información de inventarios</t>
  </si>
  <si>
    <t>Trimestral</t>
  </si>
  <si>
    <t>Lograr una percepción favorable de la calidad de los  servicios del proceso de gestión administrativa por encima del 90%</t>
  </si>
  <si>
    <t>DGC1</t>
  </si>
  <si>
    <t xml:space="preserve">Porcentaje de satisfacción en la prestación del servicio de la gestión administrativa de bienes y servicios. </t>
  </si>
  <si>
    <t>Lograr una percepción de la calidad del servicio por encima del 90%, mediante la aplicación de instrumentos de medición para identificar e implementar mejoras en el servicio.</t>
  </si>
  <si>
    <t>(Numero de instrumentos de medición aplicados con calificación igual o superior a 90% / Numero de instrumentos de medición aplicadas)*100</t>
  </si>
  <si>
    <t>Instrumentos de medición</t>
  </si>
  <si>
    <t>Instrumentos de medición aplicados con calificación igual o superior a 90%</t>
  </si>
  <si>
    <t>Instrumentos de medición aplicados a los servicios prestados por el Proceso</t>
  </si>
  <si>
    <t>Corresponde a la cantidad de instrumentos de medición aplicados a los servicios prestados por el Proceso de Gestión Administrativa con calificación igual o superior a 90%</t>
  </si>
  <si>
    <t>Corresponde a la cantidad de instrumentos de medición aplicados a los servicios prestados por el Proceso de Gestión Administrativa durante el trimestre a evaluar</t>
  </si>
  <si>
    <t>Archivos de gestión del proceso de Administrativa</t>
  </si>
  <si>
    <t>TIC007</t>
  </si>
  <si>
    <t>PORCENTAJE DE INCIDENTES GESTIONADOS RELACIONADOS EN EL MARCO DE LA SEGURIDAD Y PRIVACIDAD DE LA INFORMACIÓN INSTITUCIONAL</t>
  </si>
  <si>
    <t>DETERMINAR LA EFICACIA EN EL TRATAMIENTO DE EVENTOS RELACIONADOS CON LA SEGURIDAD DE LA INFORMACIÓN, RESPECTO DE LOS EVENTOS REPORTADOS POR LOS USUARIOS O DETERMINADAS EN LAS AUDITORÍAS PLANEADAS PARA EL SISTEMA.</t>
  </si>
  <si>
    <t>SEGURIDAD DE LA INFORMACIÓN</t>
  </si>
  <si>
    <t>(NÚMERO DE INCIDENTES ATENDIDOS /NÚMERO TOTAL DE INCIDENTES REPORTADOS)*100</t>
  </si>
  <si>
    <t>INCIDENTES</t>
  </si>
  <si>
    <t xml:space="preserve">INCIDENTES ATENDIDOS </t>
  </si>
  <si>
    <t>INCIDENTES REPORTADOS EN EL PERIODO DE MEDICIÓN</t>
  </si>
  <si>
    <t>ES UN EVENTO DETECTADO Y ATENDIDO DE MANERA EXITOSA</t>
  </si>
  <si>
    <t>ES UN EVENTO QUE SE PRESENTA Y AFECTA LA SEGURIDAD DE LA INFORMACIÓN</t>
  </si>
  <si>
    <t>HERRAMIENTAS DE REGISTRO Y MONITOREO DE INCIDENTES DE SEGURIDAD (SMART)</t>
  </si>
  <si>
    <t>TIC008</t>
  </si>
  <si>
    <t>PORCENTAJE DE CONTROLES DE SEGURIDAD DE LA INFORMACIÓN IMPLEMENTADOS</t>
  </si>
  <si>
    <t>DETERMINAR EL GRADO DE AVANCE EN LA IMPLEMENTACIÓN Y MONITOREO DE CONTROLES DE SEGURIDAD DE LA INFORMACIÓN</t>
  </si>
  <si>
    <t>(NÚMERO DE CONTROLES IMPLEMENTADOS / CONTROLES DEFINIDOS)*100</t>
  </si>
  <si>
    <t>CONTROLES IMPLEMENTADOS</t>
  </si>
  <si>
    <t>NÚMERO DE CONTROLES IMPLEMENTADOS</t>
  </si>
  <si>
    <t>TOTAL DE CONTROLES DEFINIDOS POR LA SECRETARIA</t>
  </si>
  <si>
    <t>CONTROLES DE SEGURIDAD DE LA INFORMACIÓN QUE HAN SIDO IMPLEMENTADOS EN LA SJD</t>
  </si>
  <si>
    <t xml:space="preserve">CONTROLES DE SEGURIDAD DE LA INFORMACIÓN DEFINIDOS EN LA ISO 27002, Y QUE SE HAN DEFINIDO IMPLEMENTAR DE ACUERDO CON LA DECLARACIÓN DE APLICABILIDAD DE LA SJD
</t>
  </si>
  <si>
    <t>PLAN DE TRATAMIENTO DE RIESGOS SEGURIDAD DE LA INFORMACIÓN</t>
  </si>
  <si>
    <t>DECLARACIÓN DE APLICABILIDAD SJD RELACIONADOS EN LA NORMA ISO 27002 VS 2013</t>
  </si>
  <si>
    <t>Cumplimiento de las acciones ambientales definidas en el PIGA</t>
  </si>
  <si>
    <t>OAP1</t>
  </si>
  <si>
    <t>Porcentaje de ahorro de papel en la Secretaría Jurídica Distrital</t>
  </si>
  <si>
    <t>GESTIÓN AMBIENTAL</t>
  </si>
  <si>
    <t>1- ( Sumatoria en KG de la cantidad de resmas de papel utilizados en todos los períodos/Cantidad en KG de  resmas de papel proyectadas como meta para consumo en la vigencia ) x 100 %</t>
  </si>
  <si>
    <t xml:space="preserve">Kilogramos de las resmas de papel utilizadas en el período de análisis  </t>
  </si>
  <si>
    <t>Sumatoria en KG de la cantidad de resmas de papel utilizados en todos los períodos</t>
  </si>
  <si>
    <t xml:space="preserve">Cantidad en KG de  resmas de papel proyectadas como meta para consumo en la vigencia </t>
  </si>
  <si>
    <t>Sumatoria de los kilogramos de resmas de papel utilizadas por todas dependencias en todos los períodos.</t>
  </si>
  <si>
    <t>Cantidad en kilogramos de las  resmas de papel proyectadas para consumo en la entidad durante la vigencia.</t>
  </si>
  <si>
    <t>Reportes de las entregas de resmas de papel realizadas a las dependencias  por parte de la OTIC</t>
  </si>
  <si>
    <t xml:space="preserve">Tablero de indicadores - Meta proyectada de consumo de papel para la vigencia
</t>
  </si>
  <si>
    <t>Línea base semestral 2019: 914
Línea base anual 2019: 
1828</t>
  </si>
  <si>
    <t>Registro resmas suministrado por OTIC, DGC</t>
  </si>
  <si>
    <t>MA DEL PILAR ROMERO</t>
  </si>
  <si>
    <t>OAP2</t>
  </si>
  <si>
    <t>Porcentaje de aprovechamiento de residuos sólidos en la Secretaría Jurídica Distrital</t>
  </si>
  <si>
    <t>Aumentar el porcentaje de aprovechamiento de residuos sólidos con respecto a la cantidad total generada por la Secretaría Jurídica Distrital, con el fin de disminuir la presión sobre el relleno sanitario, disminuir los impactos ambientales negativos generados por nuestro quehacer institucional y fortalecer la gestión integral de residuos sólidos.</t>
  </si>
  <si>
    <t>(Cantidad total en kilogramos de la residuos sólidos que fueron aprovechados en el período actual/ Cantidad total en kilogramos de residuos sólidos generados en el período actual)*100</t>
  </si>
  <si>
    <t xml:space="preserve">Cantidad de residuos sólidos aprovechados en kilogramos </t>
  </si>
  <si>
    <t>Cantidad total en kilogramos de la residuos sólidos que fueron aprovechados en el período actual</t>
  </si>
  <si>
    <t>Cantidad total en kilogramos de residuos sólidos generados en el período actual</t>
  </si>
  <si>
    <t>Es la cantidad en kilogramos de todos residuos sólidos generados en el período actual incluye residuos sólidos aprovechables y no aprovechables.</t>
  </si>
  <si>
    <t>Bitácoras de los residuos sólidos entregados para aprovechamiento a la  Asociación de Recicladores Puerta de Oro</t>
  </si>
  <si>
    <t>Bitácoras de los residuos sólidos entregados para aprovechamiento a la  Asociación de Recicladores Puerta de Oro.
Bitácoras del registro de las cantidades de residuos sólidos no aprovechables remitidas por la Secretaría General.</t>
  </si>
  <si>
    <t>1960,6  kg/ año(base 2019)
Meta año 2021 : 60%
Meta año 2022 : 60%
Meta año 2023 : 61%
Meta año 2024 : 62%</t>
  </si>
  <si>
    <t xml:space="preserve">Información PIGA </t>
  </si>
  <si>
    <t>515 - Generar un plan maestro de acciones judiciales para la defensa y la recuperación del patrimonio distrital</t>
  </si>
  <si>
    <t>DPJ564</t>
  </si>
  <si>
    <t>564 - NIVEL DE AVANCE EN LA CREACIÓN DEL PLAN MAESTRO DE ACCIONES JUDICIALES</t>
  </si>
  <si>
    <t>MEDIR EL AVANCE EN LA CREACIÓN DEL PLAN MAESTRO DE ACCIONES JUDICIALES</t>
  </si>
  <si>
    <t>INACTIVO</t>
  </si>
  <si>
    <t>Corresponde a las actividades cumplidas de acuerdo con el plan maestro de acciones judiciales</t>
  </si>
  <si>
    <t>Corresponde a las actividades programadas para la vigencia en el plan maestro de acciones judiciales</t>
  </si>
  <si>
    <t>Organizar el 100% de los archivos de gestión de la Secretaría Jurídica Distrital</t>
  </si>
  <si>
    <t>OAP006</t>
  </si>
  <si>
    <t>PORCENTAJE DE ORGANIZACIÓN DE LOS ARCHIVOS DE GESTIÓN DE LA SECRETARÍA JURÍDICA DISTRITAL</t>
  </si>
  <si>
    <t>ORGANIZAR LOS ARCHIVOS DE GESTIÓN DE LA SJD</t>
  </si>
  <si>
    <t>(Número de metros lineales intervenidos en el período/ Total de fondos documentales a intervenir en el período)*100</t>
  </si>
  <si>
    <t>Metros lineales</t>
  </si>
  <si>
    <t>Número de metros lineales intervenidos en el período</t>
  </si>
  <si>
    <t>Total de fondos documentales a intervenir en el período</t>
  </si>
  <si>
    <t>Corresponde al total de metros lineales intervenidos y recibidos a satisfacción</t>
  </si>
  <si>
    <t>Corresponde al total de fondos documentales a intervenir en el período (cuatrienio)</t>
  </si>
  <si>
    <t>Actas de recibo a satisfacción por parte de gestión documental</t>
  </si>
  <si>
    <t>FICHA EBI-D - Proyecto 7608</t>
  </si>
  <si>
    <t>FICHA EBI-D - Proyecto 7608
Metros lineales corte 2020 1721 restando 304 organizados con AGM - Corte junio 2020</t>
  </si>
  <si>
    <t>DAD003</t>
  </si>
  <si>
    <t>PORCENTAJE DE INDAGACIONES PRELIMINARES EVALUADAS UNA VEZ VENCIDA EL TÉRMINO DE LA ETAPA PROCESAL.</t>
  </si>
  <si>
    <t>OPTIMIZAR EL NÚMERO DE INDAGACIONES PRELIMINARES EVALUADAS UNA VEZ VENCIDA EL TÉRMINO DE LA ETAPA PROCESAL</t>
  </si>
  <si>
    <t>(Sumatoria del número de indagaciones preliminares evaluadas en el período) /(Total de indagaciones preliminares a evaluar en el período) *100%</t>
  </si>
  <si>
    <t>Indagaciones</t>
  </si>
  <si>
    <t>Número de indagaciones preliminares evaluadas</t>
  </si>
  <si>
    <t>Total de indagaciones preliminares</t>
  </si>
  <si>
    <t>Corresponde al total de indagaciones evaluadas</t>
  </si>
  <si>
    <t xml:space="preserve">Corresponde al total de indagaciones preliminares </t>
  </si>
  <si>
    <t>Gestión  DDAD 2020</t>
  </si>
  <si>
    <t>DAD002</t>
  </si>
  <si>
    <t>PORCENTAJE DE QUEJAS EVALUADAS POR LA DIRECCIÓN DISTRITAL DE ASUNTOS DISCIPLINARIOS.</t>
  </si>
  <si>
    <t xml:space="preserve">REALIZAR LA EVALUACIÓN DE LAS QUEJAS RADICADAS EN LA DIRECCIÓN DISTRITAL DE ASUNTOS DISCIPLINARIOS </t>
  </si>
  <si>
    <t>(Sumatoria del número de quejas evaluadas) / (Número de quejas recibidas en el trimestre)*100</t>
  </si>
  <si>
    <t>Quejas</t>
  </si>
  <si>
    <t>Número de quejas evaluadas en el período de análisis</t>
  </si>
  <si>
    <t>Número de quejas recibidas en el período de análisis</t>
  </si>
  <si>
    <t>Totas de quejas revisadas y evaluadas durante el período en la DDAS</t>
  </si>
  <si>
    <t>Total de quejas recibidas en el período de análisis de la DDAD</t>
  </si>
  <si>
    <t>DAD004</t>
  </si>
  <si>
    <t>PORCENTAJE DE INVESTIGACIONES DISCIPLINARIAS EVALUADAS UNA VEZ VENCIDO EL TÉRMINO DE LA ETAPA PROCESAL</t>
  </si>
  <si>
    <t>OPTIMIZAR EL NÚMERO DE INVESTIGACIONES DISCIPLINARIAS EVALUADAS UNA VEZ VENCIDA EL TÉRMINO DE LA ETAPA PROCESAL</t>
  </si>
  <si>
    <t>(Sumatoria del número de investigaciones disciplinarias evaluadas en el período) /(Número total de investigaciones disciplinarias por evaluar en el período )*100</t>
  </si>
  <si>
    <t>Investigaciones</t>
  </si>
  <si>
    <t>Número de investigaciones disciplinarias evaluadas en el período</t>
  </si>
  <si>
    <t>Número total de investigaciones disciplinarias por evaluar en el período</t>
  </si>
  <si>
    <t>Corresponde al total de investigaciones disciplinarias evaluadas</t>
  </si>
  <si>
    <t>Corresponde al total de investigaciones disciplinarias por evaluar</t>
  </si>
  <si>
    <t>DAD005</t>
  </si>
  <si>
    <t>PORCENTAJE DE DILIGENCIAS PROBATORIAS PRACTICADAS  (REQUERIMIENTO ESCRITO, TESTIMONIOS Y VISITAS ESPECIALES)</t>
  </si>
  <si>
    <t>MEDIR EL PORCENTAJE DE DILIGENCIAS QUE PRACTICA LA DEPENDENCIA</t>
  </si>
  <si>
    <t>DESEMPEÑO DEL PROCESO</t>
  </si>
  <si>
    <t>Diligencias probatorias</t>
  </si>
  <si>
    <t>Sumatoria del total de diligencias probatorias practicadas</t>
  </si>
  <si>
    <t>Corresponde al total de  diligencias probatorias practicadas en el período</t>
  </si>
  <si>
    <t>Elaborar 48  informes de gestión de las instancias de coordinación jurídica</t>
  </si>
  <si>
    <t>DPJ004</t>
  </si>
  <si>
    <t>NÚMERO DE INFORMES DE GESTIÓN DE LAS INSTANCIAS DE COORDINACIÓN JURÍDICOS REALIZADOS</t>
  </si>
  <si>
    <t>VERIFICAR LA PARTICIPACIÓN DE LA DEPENDENCIA EN LAS INSTANCIAS DE COORDINACIÓN JURÍDICA</t>
  </si>
  <si>
    <t>Sumatoria de los informes de gestión de las instancia de coordinación jurídicos realizados en el período</t>
  </si>
  <si>
    <t>Informes</t>
  </si>
  <si>
    <t>Sumatoria de los informes de gestión de las instancia de coordinación jurídicos realizados</t>
  </si>
  <si>
    <t>Corresponde a los informes de gestión proyectados por la Dirección en las instancia de Coordinación Jurídica</t>
  </si>
  <si>
    <t>Informes trimestrales del seguimiento al POA</t>
  </si>
  <si>
    <t>Proponer a la Subsecretaria Jurídica Distrital 4 políticas o lineamientos en materia de prevención del daño antijurídico que se relacionen con los temas competencia de la dirección.</t>
  </si>
  <si>
    <t>DPJ008</t>
  </si>
  <si>
    <t>NÚMERO DE POLÍTICAS O LINEAMIENTOS PROPUESTAS EN PREVENCIÓN DEL DAÑO ANTIJURÍDICO</t>
  </si>
  <si>
    <t>VERIFICAR LA PROYECCIÓN DE POLÍTICAS O LINEAMIENTOS EN PREVENCIÓN DEL DAÑO ANTIJURÍDICO</t>
  </si>
  <si>
    <t>Sumatoria de políticas o lineamientos propuestos en materia de prevención del daño antijurídico en el período</t>
  </si>
  <si>
    <t>Propuestas</t>
  </si>
  <si>
    <t>Informe de gestión trimestrales</t>
  </si>
  <si>
    <t>Atender y tramitar el 100% de las solitudes recibidas que correspondan al marco de las funciones a cargo de la Dirección Distrital de Política Jurídica y del Modelo de Gestión</t>
  </si>
  <si>
    <t>DPJ005</t>
  </si>
  <si>
    <t>PORCENTAJE DE ATENCIÓN Y TRÁMITE DE SOLICITUDES RECIBIDAS</t>
  </si>
  <si>
    <t>ATENDER Y TRAMITAR EL 100% DE LAS SOLICITUDES RECIBIDAS QUE CORRESPONDAN AL MARCO DE LAS FUNCIONES DE LA DDPJ Y DEL MODELO DE GESTIÓN</t>
  </si>
  <si>
    <t>(Sumatoria de solicitudes atendidas y gestionadas en el período / Total de solicitudes recibidas en el período)*100</t>
  </si>
  <si>
    <t>Solicitudes</t>
  </si>
  <si>
    <t xml:space="preserve">Sumatoria de solicitudes atendidas y gestionadas en el período </t>
  </si>
  <si>
    <t>Total de solicitudes recibidas en el período</t>
  </si>
  <si>
    <t>Corresponde a las solicitudes atendidas y gestionadas</t>
  </si>
  <si>
    <t>Corresponde a las solicitudes que llegan por correo electrónico o por SIGA en el marco del modelo de gestión jurídica</t>
  </si>
  <si>
    <t>Informes de gestión
SIGA</t>
  </si>
  <si>
    <t>Correo electrónico 
SIGA</t>
  </si>
  <si>
    <t>Formulación de la Política de Defensa Judicial en el marco de MIPG</t>
  </si>
  <si>
    <t>DGJ002</t>
  </si>
  <si>
    <t>PORCENTAJE DE AVANCE EN LA FORMULACIÓN DE LA POLÍTICA DE DEFENSA JUDICIAL EN EL MARCO DE MIPG</t>
  </si>
  <si>
    <t>MEDIR EL PORCENTAJE DE AVANCE EN LA FORMULACIÓN, SOCILIZACIÓN E IMPLEMENTACIÓN DE LA POLÍTICA DE DEFENSA</t>
  </si>
  <si>
    <t>(Número de etapas entregadas de avance en la formulación de la Política de Defensa Judicial / Actividades programadas para la formulación de la Política de Defensa Judicial) *100</t>
  </si>
  <si>
    <t>Etapas</t>
  </si>
  <si>
    <t>Número de etapas entregadas de avance en la formulación de la Política de Defensa Judicial</t>
  </si>
  <si>
    <t>Actividades programadas para la formulación de la Política de Defensa Judicial</t>
  </si>
  <si>
    <t>Actividades culminadas dentro del plan de formulación de la política de defensa judicial en el marco del MIPG</t>
  </si>
  <si>
    <t>Actividades definidas y programadas dentro del plan de formulación de la política de defensa judicial en el marco del MIPG</t>
  </si>
  <si>
    <t>Informe de gestión de la DDGJ</t>
  </si>
  <si>
    <t>Plan de trabajo para la implementación de la política de defensa judicial</t>
  </si>
  <si>
    <t>Realizar 64 Boletines jurídicos de actualización de información jurídica.</t>
  </si>
  <si>
    <t>DPJ003</t>
  </si>
  <si>
    <t xml:space="preserve">NUMERO DE BOLETINES ELABORADOS Y PUBLICADOS </t>
  </si>
  <si>
    <t>CONTROLAR LA CANTIDAD DE BOLETINES PUBLICADOS</t>
  </si>
  <si>
    <t>Sumatoria de boletines elaborados y publicados</t>
  </si>
  <si>
    <t>Boletines</t>
  </si>
  <si>
    <t>Corresponde a los boletines elaborados y publicados por parte de la SJD - DPJ</t>
  </si>
  <si>
    <t>Culminar 108 de las actuaciones administrativas iniciadas antes del 01 de enero de 2020</t>
  </si>
  <si>
    <t>IVC002</t>
  </si>
  <si>
    <t>DECISIONES QUE PONEN FIN A LAS ACTUACIONES ADMINISTRATIVAS CONTRA LAS ESAL.</t>
  </si>
  <si>
    <t>CULMINAR EL 100% DE LAS ACTUACIONES ADMINISTRATIVAS INICIADOS ANTES DEL 1 DE ENERO DE 2020.</t>
  </si>
  <si>
    <t>Sumatoria de las decisiones definitivas que ponen fin a las actuaciones administrativas iniciadas antes del 1 de enero de 2020 contra las ESAL</t>
  </si>
  <si>
    <t>Decisiones</t>
  </si>
  <si>
    <t>Total de decisiones definitivas que ponen fin a las actuaciones administrativas contra las ESAL iniciadas antes del 1 de enero de 2020, durante el período</t>
  </si>
  <si>
    <t>Corresponde a las de actuaciones administrativas iniciadas contra las ESAL antes del 1 de enero de 2020</t>
  </si>
  <si>
    <t>108 actuaciones administrativas iniciadas antes del 1 de enero de 2020, registradas en la base de datos de actuaciones administrativas</t>
  </si>
  <si>
    <t>Asistir y apoyar en un 100% a la Secretaría Jurídica Distrital y la Subsecretaría Jurídica Distrital en el ejercicio de sus funciones y atribuciones legales.</t>
  </si>
  <si>
    <t>DPJ009</t>
  </si>
  <si>
    <t>PORCENTAJE DE MEDIACIONES ATENDIDAS DE ACUERDO CON SOLICITUDES RECIBIDAS.</t>
  </si>
  <si>
    <t>VERIFICAR LAS MEDIACIONES ATENDIDAS DE ACUERDO A SOLICITUDES RECIBIDAS</t>
  </si>
  <si>
    <t>(Sumatoria de las mediaciones atendidas en el período / Total de mediaciones recibidas en el período)*100</t>
  </si>
  <si>
    <t>Mediaciones</t>
  </si>
  <si>
    <t>Sumatoria de las mediaciones atendidas</t>
  </si>
  <si>
    <t>Total de mediaciones recibidas</t>
  </si>
  <si>
    <t>Corresponde a las mediaciones atendidas por la dependencia</t>
  </si>
  <si>
    <t>Corresponde a las solicitudes de mediación realizadas por las entidades y organismos distritales</t>
  </si>
  <si>
    <t>SIGA</t>
  </si>
  <si>
    <t>Actualizar las tablas de retención documental de la SJD.</t>
  </si>
  <si>
    <t>DGC009</t>
  </si>
  <si>
    <t>PORCENTAJE DE AVANCE EN LA ACTUALIZACIÓN DE TABLAS DE RETENCIÓN DOCUMENTAL DE LA ENTIDAD.</t>
  </si>
  <si>
    <t>GARANTIZAR LA ADECUADA GESTIÓN DOCUMENTAL A TRAVES DEL PROCESO DE ACTUALIZACIÓN DE LAS TRD.</t>
  </si>
  <si>
    <t>(Sumatoria actividades ejecutadas en el trimestre/ actividades programadas en el plan de trabajo de  actualización en el trimestre)*100</t>
  </si>
  <si>
    <t>Actividades ejecutadas</t>
  </si>
  <si>
    <t>Actividades ejecutadas en los tiempos estipulados en el plan de trabajo durante el trimestre</t>
  </si>
  <si>
    <t>Actividades programadas en el plan de trabajo en el trimestre</t>
  </si>
  <si>
    <t>Actividades adelantadas en el marco del plan de trabajo estipulado para la actualización</t>
  </si>
  <si>
    <t>Corresponde al plan de trabajo determinado para la actualización de tablas de retención documental</t>
  </si>
  <si>
    <t>Informe de plan de trabajo de actualización de tablas de retención documental</t>
  </si>
  <si>
    <t xml:space="preserve">Fortalecer el acceso a la información y contribuir en la formulación de políticas públicas, a través de la implementación módulos del Sistema de Información Distrital del Empleo y la Administración Pública – SIDEAP- 2.0 </t>
  </si>
  <si>
    <t>DGC007</t>
  </si>
  <si>
    <t>PORCENTAJE DE ACTIVIDADES REALIZADAS EN EL MARCO DEL PLAN DE TRABAJO DE ACTUALIZACIÓN E IMPLEMENTACIÓN MÓDULOS SIDEAP.</t>
  </si>
  <si>
    <t xml:space="preserve">FORTALECER EL ACCESO A LA INFORMACIÓN Y CONTRIBUIR EN LA FORMULACIÓN DE POLITICAS PÚBLICAS, A TRAVÉS DE LA IMPLEMENTACIÓN MÓDULOS DEL SISTEMA DE INFORMACIÓN DISTRITAL DEL EMPLEO Y LA ADMINISTRACIÓN PÚBLICA – SIDEAP- 2.0 </t>
  </si>
  <si>
    <t>(Sumatoria actividades ejecutadas en el trimestre / actividades programadas plan de implementación SIDEAP en el trimestre)*100</t>
  </si>
  <si>
    <t>Actividades ejecutadas en los tiempos estipulados en el cronograma del plan de implementación del SIDEAP</t>
  </si>
  <si>
    <t>Actividades programadas plan de implementación SIDEAP en el trimestre</t>
  </si>
  <si>
    <t>Corresponde a las actividades realizadas en el marco del plan de implementación del SIDEAP</t>
  </si>
  <si>
    <t>Corresponde a las actividades programadas  en el plan de implementación del SIDEAP durante el trimestre a reportar</t>
  </si>
  <si>
    <t>Informe de plan de implementación del SIDEAP</t>
  </si>
  <si>
    <t>Ejecutar las actividades del plan de trabajo de implementación de la estrategia de trabajo en casa, de acuerdo al cronograma establecido</t>
  </si>
  <si>
    <t>DGC010</t>
  </si>
  <si>
    <t>PORCENTAJE DE AVANCE EN LA IMPLEMENTACIÓN DE LA ESTRATEGIA DE TELETRABAJO.</t>
  </si>
  <si>
    <t>AVANZAR EN EL 60% DE LA IMPLEMENTACIÓN DE LA ESTRATEGÍA DE TELETRABAJO.</t>
  </si>
  <si>
    <t>(Actividades ejecutadas/ actividades programadas en el plan de implementación de la estrategia de teletrabajo)*100</t>
  </si>
  <si>
    <t>Actividades ejecutadas en los tiempos estipulados en el plan de implementación de la estrategia de teletrabajo</t>
  </si>
  <si>
    <t>Actividades programadas en el plan de implementación de la estrategia de teletrabajo</t>
  </si>
  <si>
    <t>Corresponde a las actividades ejecutadas  en el marco del plan de implementación de la estrategia de teletrabajo</t>
  </si>
  <si>
    <t>Corresponde a las actividades programadas  en el plan de implementación de la estrategia de teletrabajo</t>
  </si>
  <si>
    <t>Informe de plan de implementación de la estrategia de teletrabajo</t>
  </si>
  <si>
    <t xml:space="preserve">Mejorar la calidad del proceso de gestión administrativa. </t>
  </si>
  <si>
    <t>DGC008</t>
  </si>
  <si>
    <t>PORCENTAJE DE ACTUALIZACIÓN DOCUMENTAL DEL PROCESO DE GESTIÓN ADMINISTRATIVA</t>
  </si>
  <si>
    <t>GARANTIZAR LA ACTUALIZACIÓN DE LOS DOCUMENTOS ASOCIADOS AL PROCESO DE GESTIÓN ADMINISTRATIVA, CON EL PROPÓSITO DE MEJORAR LA CALIDAD DEL SERVICIO</t>
  </si>
  <si>
    <t>(Documentos revisados y/o actualizados publicados en SMART/ documentos del proceso de gestión administrativa publicados en SMART) * 100</t>
  </si>
  <si>
    <t xml:space="preserve">Documentos actualizados </t>
  </si>
  <si>
    <t>Documentos revisados y/o actualizados publicados en SMART</t>
  </si>
  <si>
    <t>Documentos del proceso de gestión administrativa publicados en SMART</t>
  </si>
  <si>
    <t>Corresponde a la cantidad de documentos del proceso de gestión administrativa cargados en SMART a 31 de dic de 2021, debidamente revisados y actualizados cuando corresponda</t>
  </si>
  <si>
    <t>Documentos del proceso de gestión administrativa cargados en smart a 31 de dic de 2021</t>
  </si>
  <si>
    <t>SMART</t>
  </si>
  <si>
    <t>559- NIVEL DE EFICIENCIA EN LA GESTIÓN JURÍDICA DISTRITAL</t>
  </si>
  <si>
    <t xml:space="preserve">PORCENTAJE DE REQUERIMIENTOS JURÍDICOS GESTIONADOS DENTRO DEL TIEMPO ESTABLECIDOS </t>
  </si>
  <si>
    <t>Total indicadores Activos</t>
  </si>
  <si>
    <t>Total indicadores  Iactivos</t>
  </si>
  <si>
    <t>TODAS</t>
  </si>
  <si>
    <t>DESPACHO_SECRETARÍA_JURÍDICA</t>
  </si>
  <si>
    <t>DIRECCIÓN_DE_GESTIÓN_CORPORATIVA</t>
  </si>
  <si>
    <t>DIRECCIÓN_DISTRITAL_DE_ASUNTOS_DISCIPLINARIOS</t>
  </si>
  <si>
    <t>DIRECCIÓN_DISTRITAL_DE_DOCTRINA_Y_ASUNTOS_NORMATIVOS</t>
  </si>
  <si>
    <t>DIRECCIÓN_DISTRITAL_DE_GESTIÓN_JUDICIAL</t>
  </si>
  <si>
    <t>DIRECCIÓN_DISTRITAL_DE_INSPECCIÓN_VIGILANCIA_Y_CONTROL</t>
  </si>
  <si>
    <t>DIRECCIÓN_DISTRITAL_DE_POLÍTICA_JURÍDICA</t>
  </si>
  <si>
    <t>OFICINA_DE_CONTROL_INTERNO</t>
  </si>
  <si>
    <t>OFICINA_DE_TECNOLOGÍAS_DE_LA_INFORMACIÓN_Y_LAS_COMUNICACIONES</t>
  </si>
  <si>
    <t>SUBSECRETARÍA_JURÍDICA_DISTRITAL</t>
  </si>
  <si>
    <t xml:space="preserve">IMPERATIVO   SIN  FACTOR  </t>
  </si>
  <si>
    <t>FACTOR ANUAL</t>
  </si>
  <si>
    <t xml:space="preserve">IMPERATIVO   CON FACTOR  </t>
  </si>
  <si>
    <t>Total</t>
  </si>
  <si>
    <t>Desempeño institucional vigencia</t>
  </si>
  <si>
    <t>Promedio Total</t>
  </si>
  <si>
    <t>Promedio General</t>
  </si>
  <si>
    <t>Desempeño institucional 2020-2024</t>
  </si>
  <si>
    <t>AVANCE PONDERADO</t>
  </si>
  <si>
    <t>ESTRATEGICOS</t>
  </si>
  <si>
    <t>MISIONALES</t>
  </si>
  <si>
    <t>Graficas</t>
  </si>
  <si>
    <t>APOYO</t>
  </si>
  <si>
    <t xml:space="preserve">DESEMPEÑO INSTITUCIONAL 2020 -2024 </t>
  </si>
  <si>
    <t>EVALUACION</t>
  </si>
  <si>
    <t>PLAN DE  ACCIÓN</t>
  </si>
  <si>
    <t xml:space="preserve">Valor </t>
  </si>
  <si>
    <t>Puntero</t>
  </si>
  <si>
    <t>Despues</t>
  </si>
  <si>
    <t>DESEMPEÑO INSTITUCIONAL VIGENCIA ACTUAL</t>
  </si>
  <si>
    <t>Semestral</t>
  </si>
  <si>
    <t>Efectividad</t>
  </si>
  <si>
    <t>DESP002</t>
  </si>
  <si>
    <t>DESP003</t>
  </si>
  <si>
    <t>OCI002</t>
  </si>
  <si>
    <t>Número de seguidores alcanzados en la red social twitter</t>
  </si>
  <si>
    <t>Número de días promedio para publicación en los canales internos</t>
  </si>
  <si>
    <t>Medir la oportunidad en la publicación de las solicitudes a publicar a través de los canales internos.</t>
  </si>
  <si>
    <t>Sumatoria de seguidores nuevos que se espera alcanzar en el periodo</t>
  </si>
  <si>
    <t>Número de días hábiles promedio utilizado para publicar las comunicaciones internas</t>
  </si>
  <si>
    <t>Número</t>
  </si>
  <si>
    <t>Reporte de analítica de la Red social Twitter</t>
  </si>
  <si>
    <t>Reporte de analítica de la Red social Twitter / 2022</t>
  </si>
  <si>
    <t>Número de días hábiles promedio utilizado para publicar las comunicaciones internas de acuerdo con la fecha de publicación solicitada.</t>
  </si>
  <si>
    <t>Corresponde al tiempo promedio  utilizado para diseñar y publicar las comunicaciones internas de acuerdo con la fecha de publicación solicitada.</t>
  </si>
  <si>
    <t xml:space="preserve">Control de publicaciones de canales internos. </t>
  </si>
  <si>
    <t>Control de publicación de canales internos 2022</t>
  </si>
  <si>
    <t>Eficiencia</t>
  </si>
  <si>
    <t>Lograr un nivel de satisfacción de los ejercicios de auditoria interna del 90%</t>
  </si>
  <si>
    <t>Porcentaje de satisfacción de los ejercicios de auditoría interna</t>
  </si>
  <si>
    <t>Medir el nivel de satisfacción de los ejercicios de auditoría interna</t>
  </si>
  <si>
    <t>Promedio de evaluaciones (Evaluación del líder al auditado, Evaluación del auditado a la auditoría, Evaluación al líder y al equipo auditor) realizadas a las auditorias en el periodo/ Número de auditorías realizadas   X 100</t>
  </si>
  <si>
    <t>Sumatoria del promedio de las evaluaciones (evaluación del líder al auditado, evaluación del auditado a la auditoría, evaluación al líder y al equipo auditor)</t>
  </si>
  <si>
    <t>Número de auditorías realizadas</t>
  </si>
  <si>
    <t xml:space="preserve">Hace referencia a las evaluaciones realizadas por el líder del proceso auditado, el jefe de la oficina de control interno y el líder de auditoría en el aplicativo SMART, las cuales se consolidan en el formato 2310300-FT-206 por cada auditoría. </t>
  </si>
  <si>
    <t>Hace referencia a las auditorías realizadas en el periodo de acuerdo a lo establecido en el plan anual de auditoría</t>
  </si>
  <si>
    <t>Smart con el detalle de las auditoría - Módulo de auditorías
2310300-FT-206	Evaluación de Auditores</t>
  </si>
  <si>
    <t>Smart con el detalle de las auditoría - Módulo de auditorías
2310300-FT-206	Evaluación de Auditores
Plan anual de auditoría</t>
  </si>
  <si>
    <t>2310300-FT-206	Evaluación de Auditores</t>
  </si>
  <si>
    <t>Incluir programado anual</t>
  </si>
  <si>
    <t>Incluir ejecutado anual</t>
  </si>
  <si>
    <t xml:space="preserve">Nivel de satisfacción de las orientaciones realizadas a los servidores públicos del Distrito Capital. </t>
  </si>
  <si>
    <t>Medir la satisfacción de las orientaciones realizadas a los servidores públicos del Distrito Capital a través de la aplicación de herramientas de medición de percepción.</t>
  </si>
  <si>
    <t>Número de encuestas con resultado satisfactorio 
--------------------------------------
Número total de encuestados en el semestre</t>
  </si>
  <si>
    <t>Sumatoria de encuestas con resultado satisfactorio</t>
  </si>
  <si>
    <t>Número total de encuestados</t>
  </si>
  <si>
    <t>Hace referencia al total de encuestas aplicadas en el semestre</t>
  </si>
  <si>
    <t>Encuesta de satisfacción</t>
  </si>
  <si>
    <t>Lograr un nivel de satisfacción en las orientaciones realizadas a los servidores públicos del Distrito Capital, del 70%.</t>
  </si>
  <si>
    <t>OTRO</t>
  </si>
  <si>
    <t>Esta meta inicia su ejecución en febrero.</t>
  </si>
  <si>
    <t>El 17/01/2023 se realizó reunión de concertación para los parámetros a incluir en la elaboración del plan de trabajo del ODCLA., proyecto que fue trabajado de manera conjunta con la contratista asignada al Observatorio. 
El 30 de enero de 2023, se socializó el plan de trabajo del ODCLA para el 2023 con el equipo del observatorio, el cual fue aprobado por el Director Distrital de Política Jurídica.
Con el plan de trabajo del ODCLA para la vigencia 2023, se logra trazar una hoja de ruta para desarrollar acciones, análisis y herramientas en los componentes de contratación y anticorrupción con el propósito de aportar a los organismos y entidades distritales,  recomendaciones y lineamientos para la toma de decisiones adecuadas en su gestión contractual y lucha anticorrupción.</t>
  </si>
  <si>
    <t>Esta meta inicia su ejecución en marzo.</t>
  </si>
  <si>
    <t>Esta meta inicia su ejecución en febrero</t>
  </si>
  <si>
    <t>Esta meta inicia su ejecución en noviembre</t>
  </si>
  <si>
    <t>Durante este mes se publicaron 33 proyectos de actos administrativos en la plataforma LegalBog y se  reportaron 670observaciones. Lo cual  se traduce en que según la programación mensual, con esta cifra,  se eleva a un 2481% de cumplimiento,  lo cual representa en la meta total el 70% de cumplimiento.                                                     
En términos del incremento del 30% de la participación ciudadana, con el avance del mes de octubre, teniendo en cuenta la programación de la Meta, el indicador refleja un    21,0% de incremento</t>
  </si>
  <si>
    <t>De las 670 observaciones que se reportan para este mes se identificaron 150  incidencias positivas de los comentarios realizados por la ciudadanía lo que permite concluir que el 22%  de las observaciones fueron tenidas en cuenta para el mejoramiento de la gestión normativa distrital. En el mes de septiembre  se expidieron 9 Decretos.</t>
  </si>
  <si>
    <t>Esta meta inicia su ejecución en Marzo.</t>
  </si>
  <si>
    <t>Esta meta inicia su ejecución en Febrero.</t>
  </si>
  <si>
    <t>Porcentaje de procesos disciplinarios evaluados una vez vencido el término de la etapa procesal.</t>
  </si>
  <si>
    <t>Porcentaje de disponibilidad de los servicios tecnológicos de la SJD</t>
  </si>
  <si>
    <t>Porcentaje de seguimientos  realizados a la información  registrada en el  SIPROJ al 100% de las Entidades Distritales.</t>
  </si>
  <si>
    <t>Nivel satisfacción de las asesorias brindadas por la Oficina Asesora de Planeación.</t>
  </si>
  <si>
    <t>Porcentaje de cumplimiento de Plan Anual de Auditoria</t>
  </si>
  <si>
    <t>Numero de jornadas de orientacion para el fortaleciemiento del cuerpo de abogados del distrito del D.C.</t>
  </si>
  <si>
    <t>Emitir conceptos de vigencia normativa máximo en 7 días hábiles</t>
  </si>
  <si>
    <t>Número de días hábiles para la emisión de las respuestas de las vigencias normativas.</t>
  </si>
  <si>
    <t>DPJ012</t>
  </si>
  <si>
    <t>Medir el número de días hábiles para la emisión de las respuestas de las vigencias normativas.</t>
  </si>
  <si>
    <t>Promedio de días hábiles utilizados para la emisión de las respuestas de las vigencias normativas.</t>
  </si>
  <si>
    <t>Número de días hábiles</t>
  </si>
  <si>
    <t>Promedio de días hábiles utilizados para la emisión de las respuestas de las vigencias normativas</t>
  </si>
  <si>
    <t>Corresponde a la sumatoria de días hábiles en los cuales se dio respuesta a las vigencias normativas conforme al número de vigencias normativas solicitadas.</t>
  </si>
  <si>
    <t xml:space="preserve">Excel con relación de la información de las vigencias normativas solicitadas. </t>
  </si>
  <si>
    <t>Decreto 474 del 2022 art. 16</t>
  </si>
  <si>
    <t>Número de informes reportados de alertas y seguimiento a PQRS</t>
  </si>
  <si>
    <t>Nivel de percepción favorable de los servicios del proceso de Gestión Contractual</t>
  </si>
  <si>
    <t>Lograr un nivel de percepción favorable del 70% respecto de los servicios prestados por el proceso de Gestión Contractual</t>
  </si>
  <si>
    <t>(Numero de encuestas de nivel de percepción con calificación favorable / Numero de encuestas aplicadas)*100</t>
  </si>
  <si>
    <t>Porcentaje de percepción</t>
  </si>
  <si>
    <t>Encuestas con nivel de percepción aplicados con calificación favorable</t>
  </si>
  <si>
    <t>Encuestas de nivel de percepción aplicadas a los servicios prestados por el proceso</t>
  </si>
  <si>
    <t>Corresponde a la cantidad de encuestas de nivel de percepción aplicados a los servicios prestados por el Proceso de Gestión Contractual con calificación igual o superior a 70%</t>
  </si>
  <si>
    <t>Corresponde a la cantidad de encuestas con nivel de percepción aplicadas a los servicios prestados por el Proceso de Gestión Contractual durante el semestre a evaluar</t>
  </si>
  <si>
    <t>Herramienta de encuesta de percepción</t>
  </si>
  <si>
    <t>Gestionar oportunamente los requerimientos presentados por la ciudadanía a través del Sistema Distrital para la Gestión de Peticiones Ciudadanas Bogotá te Escucha por parte de las dependencias responsables de emitir respuesta.</t>
  </si>
  <si>
    <t>DGC -AC01</t>
  </si>
  <si>
    <t>Nivel de impacto de las capacitaciones realizadas con recursos de la Entidad</t>
  </si>
  <si>
    <t>Lograr el 75% de nivel de impacto de 3 capacitaciones realizadas con recursos de la Entidad.</t>
  </si>
  <si>
    <t>Sumatoria del resultado de la medición de impacto de las capacitaciones priorizadas / Total de capacitaciones priorizadas</t>
  </si>
  <si>
    <t>Sumatoria del resultado de la medición de impacto de las capacitaciones priorizadas</t>
  </si>
  <si>
    <t>Total de capacitaciones priorizadas</t>
  </si>
  <si>
    <t xml:space="preserve">Hace referencia a la suma de los resultados obtenidos a la aplicación del instrumento de medición de impacto a las capacitaciones priorizadas dentro del Plan Institucional de Capacitación </t>
  </si>
  <si>
    <t>Hace referencia al numero de capacitaciones priorizadas por la entidad en el plan Institucional de Capacitación</t>
  </si>
  <si>
    <t>Instrumento de medición de impacto</t>
  </si>
  <si>
    <t>En cuanto a los servidores Windows 
•	Se genera en conjunto con el oficial de seguridad de la entidad un cronograma estableciendo las fechas de escaneo de vulnerabilidades para los servidores windows y un cronograma fijando las fechas de mitigación de estas potenciales vulnerabilidades en caso de que estas sean descubiertas en los periodos establecidos dentro del cronograma. Es importante realizar análisis de vulnerabilidades, ya que estos mitigan la materialización de un potencial riesgo.
•	Se cumplen las labores mensuales de mantenimiento lógico de las plataformas albergadas en el sistema operativo Windows server, se realiza parchado de servidores sugerido por el fabricante Microsoft, el ID del acumulativo de parches se encuentra disponible para consulta en las evidencias proporcionadas del mes. Estas actualizaciones disminuyen la probabilidad de un ataque e incrementan la seguridad y estabilidad en los sistemas operativos con lo cual la información albergada en los mismos cuenta con características de fiabilidad.
•	Se revisan políticas de seguridad del dispositivo de seguridad perimetral WAF (Wireless Aplication Firewall) con el fin de afinar bloqueos de falsos positivos que puedan interrumpir las labores de operación de usuarios internos y externos. Eso se ve reflejado en los portales de los sitios de bogotajuridica.gov.co y secretariajuridica.gov.co
•	Se actualiza (relicencia) aplicativo de cambio de contraseñas de usuario de directorio activo que se realiza a nivel interno o a través de internet. Este aplicativo permite mayor agilidad en el momento en el cuál se quiera cambiar de password por parte de los usuarios.
•	Se generan Backups de la base de datos de los usuarios de directorio activo con corte al mes de Enero de 2023, con el fin de contar con un respaldo de esta información en caso de presentarse alguna falla o pérdida parcial y/o total de información, también se actualiza la bitácora de usuarios creados, habilitados y de cuenta expirada pertenecientes al directorio activo correspondiente al mes de Enero de 2023.
En cuanto al sistema de nómina
•	Se efectuó reunión con los usuarios funcionales de Nomina para determinar y priorizar las actividades de la vigencia 2023, se realizó  el ajuste en la formulación de la liquidación de la Prima semestral, teniendo en cuenta las modificaciones en el decreto 1948 de 2022-08-03, que establece que el reconocimiento del concepto debe liquidarse proporcional en días,  no en sextas o meses completos, con lo cual  se levanta la limitación de tener como mínimo 90 días trabajados de forma continua para tener derecho al reconocimiento.  Esto redunda en una mejora sustancial para los funcionarios de la entidad que perdían el derecho si no cumplían dichos requisitos.
En cuanto al aplicativo de contabilidad 
•	Se realizó reunión inicial de manera informal con los usuarios funcionales del sistema contable el día 30 de enero 2023 y se programó reunión formal para el día 7 de febrero 2023.</t>
  </si>
  <si>
    <t>•	En el mes de enero se detectaron tres correos electrónicos sospechosos de tener adjuntos con software malicioso. Los buzones de estos correos fueron bloqueados en la plataforma XERTICA de la Secretaría. Esta actividad se hace con el fin de garantizar la integridad y disponibilidad de la información que se transmite a través del correo electrónico y de proteger la red corporativa.
•	Se elaboró y presentó el plan de trabajo para la ejecución del contrato 035-2023 el cual presenta las actividades a ejecutar en dicha vigencia de acuerdo con el ciclo de diagnóstico, planear y actuar. Este cronograma fue aprobado por el supervisor del contrato. Se adjunta el cronograma de actividades en el informe de supervisión del mes de enero.
•	En el mes de enero se presentó a la Oficina Asesora de Planeación los posibles riesgos de corrupción que se pueden presentar en el proceso de Gestión de TIC. La Oficina Asesora de Planeación aprobó y publicó los riesgos de corrupción de la OTIC en la página web de la Secretaría. Esta actividad cumple con la normatividad interna y externa establecida para el Plan Anticorrupción de la Secretaría.
•	En el mes de enero se realizó análisis de vulnerabilidades a las 6 páginas web de los sistemas misionales, cuyos resultados fueron informados a los administradores funcionales de estas aplicaciones en la SJD.  
•	Para el mes de enero se tienen como resultado el siguiente reporte:
	Aplicativo Régimen Legal: Se recomienda actualizar la versión de JQUERY, JQUERY UI y Bootstrap-saas.
	Aplicativo Procesos Judiciales: No se presentan vulnerabilidades. 
	Aplicativo Sistema de Información Disciplinario: No se presentan vulnerabilidades. 
	Aplicativo Sistema de información de personas jurídicas: Se recomienda actualizar la versión de JQUERY, Bootstrap, Modernizr, Fancybox, Emojidex.
	Aplicativo Biblioteca Virtual: No se presentan vulnerabilidades.
	Aplicativo Abogacía: No se presentan vulnerabilidades. 
•	En el mes de enero se  realizó la actividad de identificación de vulnerabilidades técnicas de los servidores de producción, servidores de pruebas del sistema LegalBog y de la página web de la Secretaría, cuyos resultados fueron informados a los responsables de la infraestructura, bases de datos, sistemas de información misionales y de apoyo con el fin que sean generados los correspondientes planes de trabajo para mitigar las vulnerabilidades a corto y mediano plazo, con el objetivo de asegurar que la información de la infraestructura tecnológica de la Entidad. Esta actividad se realiza mensualmente y con esto se garantiza que la Entidad cuenta con los mecanismos y herramientas para detectar y mitigar vulnerabilidades de manera periódica y efectiva.</t>
  </si>
  <si>
    <t xml:space="preserve">Durante el mes de febrero se adelantaron los estudios previos para que dentro del  marco del Convenio Interadministrativo N°. 197-2022 suscrito entre la Secretaría Jurídica Distrital y la Universidad Nacional Abierta y a Distancia – UNAD, se desarrolle la prestación de servicios para realizar el diplomado en la modalidad virtual y presencial sobre Compliance y Plan de Cumplimiento Normativo en el sector público dirigido a 40 servidores públicos del Distrito Capital con una intensidad horaria de 120 horas por un término de 3 meses.
Con ocasión a ello, se está realizando la recolección de los documentos precontractuales atendiendo a las necesidades del contrato, por lo que se estima que éste proceso se culmine en el mes de marzo, y el proyecto se encuentre en ejecución a partir del mes de abril. 
Para el mes de febrero de 2023, se tenía previsto elaborar el plan de trabajo para la vigencia para el cumplimiento de la meta programada, sin embargo, esto no se alcanzó a surtir, dado que durante el periodo reportado se adelantaron los estudios previos para el proceso de contratación que desarrollará las actividades previstas. 
En razón a lo anterior, durante el mes de marzo se continuará con el proceso de contratación, el cual, una vez se encuentre suscrito, se procederá con la actividad que estaba prevista.
Se está realizando la recolección de los documentos precontractuales atendiendo a las necesidades del contrato, por lo que se estima que éste proceso se culmine en el mes de marzo, y el proyecto se encuentre en ejecución a partir del mes de abril. </t>
  </si>
  <si>
    <t>La meta para el 2023 inicia su ejecución en junio.
Ahora bien, en cuanto a los documentos pendientes de análisis jurídicos del 2022, se realizó la segunda entrega del análisis en el que incorporó nuevas inhabilidades e incompatibilidades así como la jurisprudencia más relevante asociadas a cada una de ellas. 
En cuanto a la otra pendiente, mediante memorando  3-2023-2054 se solicitó la prórroga del contrato por 9 días, por lo que la difusión y socialización del estudio se realizará en el mes de marzo de 2023.
Se solicitó la prórroga del contrato por  9 días, a razón  que de acuerdo con el procedimiento "Formulación, elaboración, evaluación de política y lineamientos jurídicos" cod. 2310400-PR-015; los análisis, estudios e investigaciones inician con el análisis de una problemática jurídica existente y finaliza con la respectiva difusión o socialización del producto; dentro de las actividades se prevé la realización de correcciones de acuerdo con lo solicitado por el Director, Subsecretario o Secretario Jurídico. 
Ahora bien, en el proceso de revisión del documento, se realizaron algunas observaciones y el contratista mediante correo electrónico del 21 de febrero de 2023, remitió la versión definitiva, y solicitó la prórroga del contrato hasta el próximo 3 de marzo de 2023 para cumplir cabalmente con las obligaciones pactadas, la cual fue aceptada dada la necesidad de ejecución.
Mediante memorando  3-2023-2054 se solicitó la prórroga del contrato por 9 días, por lo que la difusión y socialización del estudio se realizará en el mes de marzo de 2023.</t>
  </si>
  <si>
    <t>Durante el periodo correspondido entre el 1 y el 28 de febrero se analizó jurídica y financieramente, una base de 441 ESAL por los contratistas, de las cuales se determinó el estado de 180 de ellas, así: 
• 147 ESAL que una vez verificado el estado actual se remite requerimiento de documentos faltantes, con el fin de que se pongan al día con sus obligaciones ante este ente de IVC, lo que corresponde al 81,67% del total de las ESAL determinadas.
• 33 ESAL que, una vez verificado el estado actual, se encuentran al día en el reporte de la información jurídica, contable y financiera, lo que equivale a un 18,33% del total de las ESAL determinadas.</t>
  </si>
  <si>
    <t>Esta meta inicia su ejecución en abril</t>
  </si>
  <si>
    <t>Durante el mes de febrero, se publicaron 25 proyectos de actos administrativos en la plataforma LegalBog y se reportaron 60 observaciones. Lo cual se traduce en que según la programación mensual, con esta cifra se eleva a un 67% de cumplimiento,  lo cual representa en la meta total el 76% de cumplimiento.         
En febrero se realizaron 5 jornadas del ciclo de gobernanza regulatoria con los sectores Distritales de manera virtual.
En términos del incremento del 30% de la participación ciudadana, con el avance del mes de febrero, teniendo en cuenta la programación de la Meta, el indicador refleja un 22,9% de incremento.</t>
  </si>
  <si>
    <t>De las 60 observaciones que se reportan para el mes de febrero, se identifican doce (12) incidencias positivas de los comentarios realizados por la ciudadanía, lo que permite concluir que el 20% de los comentarios fueron tenidos en cuenta para el mejoramiento de la gestión normativa distrital. 
Ahora bien, de los proyectos de actos administrativos que fueron objeto de publicación se expidieron 10 decretos en el mes de febrero de 2023.</t>
  </si>
  <si>
    <t>Frente a la meta número 2, se lograron integrar 4 herramientas y metodologías de gestión en el mes de febrero, logrando incrementar la satisfacción de las partes interesadas. Dichas herramientas fueron: Informes de Gestión y Resultados, Sistema de Gestión de Calidad, Formulación de alertas para prevenir posibles incumplimientos resultados de auditorías anteriores y el Ranking de Entidades Distritales. Para el mes de febrero se presentó el primer informe de alertas tempranas.
Alertas Tempranas: Desde la OAP se elaboró y publicó a través del boletín interno y página web, el primer informe de Alertas tempranas 2023, el cual surtió de las tres auditorías de gestión realizadas durante el último trimestre del año 2022 y del cual se extractan seis recomendaciones generales que no están plasmadas en los 18 planes de mejoramiento registrados por parte de los procesos en el aplicativo SMART
Sistema de Gestión de Calidad: Durante el mes de Febrero se realizó seguimiento y aprobación de las solicitudes de eliminación, creación y actualización de la documentación necesaria para el Sistema Integrado de Gestión, en total  35 flujos de trabajo de las cuales 15 son nuevas solicitudes. 
Normograma: Para la nueva actualización del normograma de los 17 procesos de la SJD, 16 dieron respuesta respuestas, dos de ellos manifiestan mantener su marco normativo actualizado y el procesos de NOTIFICACIONES no envió respuesta.
Planes de mejoramiento: Se elaboró y publicó en boletín interno y página web informe ejecutivo de planes de mejoramiento mensual del mes de febrero, en el cual se dio a conocer mediante gráficos el estado actual de planes registrados hasta la fecha en el aplicativo SMART. Frente a la formulación y seguimiento de dichos planes, se diligenció el formato y se envió un correo electrónico en el cual se reporta incidencia al proveedor de servicios ITS, respecto a falta de inclusión de espacio de seguimiento a actividades del plan 716 como auditor, registrado con ticket 2023-030. Así mismo, se realizó asesoría para cargue de evidencia de una de las cuatro actividades “Dar a conocer a través de correo electrónico el portafolio de B&amp;S a todos los funcionarios de IVC” del plan 737 del proceso de IVC. 
También se elaboró y proyectó presentación de planes de mejoramiento, para reunión de grupo gestor del mes de febrero en la cual se dio a conocer circular 004 de 2023 que habla sobre los lineamientos para la correcta formulación de planes, así mismo fechas de cierre de planes y socialización del informe ejecutivo de P.M. Por último, se realizó trazabilidad y respuesta a través de correo electrónico a la Oficina de Control Interno frente al plan 716 identificando la razón por la cual este plan con fuente OCI no tenía el espacio de seguimiento del auditor OCI.
Gestión del Riesgo: En el grupo gestor del mes de febrero, la Oficina Asesora de Planeación presentó por medio del líder del módulo del SMART la metodología de gestión de riesgos de gestión de la entidad, con el fin de que los procesos puedan identificar y formular de manera adecuada los riesgos, controles y planes de tratamiento respectivamente. Además, se elaboró video para el registro de los riesgos de corrupción en el sistema Smart y se realizó revisión y retroalimentación del registro de los riesgos en el sistema Smart de cada uno de los procesos. Por último, se generó la versión número 1 del mapa de riesgos de corrupción en el sistema Smart.</t>
  </si>
  <si>
    <t>Se desarrollaron las siguientes acciones:
Se realizaron 3 reuniones con los usuarios para realizar los ajustes y nuevas definiciones al módulo de Régimen Legal incluido en la APP; en el módulo de Legalbog desarrollado en la App, se socializaron múltiples ajustes para mejorar la visualización de las intervenciones y el filtro para la búsqueda de información; por último, en el módulo de Régimen Legal desarrollado en la App, se creó un botón para hacer consulta del POT con el cual, los usuarios administradores pueden configurar múltiples opciones dentro del sistema de información y visualizar la información requerida de manera rápida y organizada de la entidad.</t>
  </si>
  <si>
    <t>Se realizaron tareas contractuales tendientes a la contratación del licenciamiento de bizagi y el antivirus, de este análisis se desprendieron mejoras para los anexos técnicos de la contratación, lo cual redundara en mayor calidad a la hora de prestar el servicio. Tal es el caso que se dio respuesta a los proponentes en cuanto a los requerimientos ara la contratación del antivirus y se ajustó la planeación, entendida como la organización lógica y coherente de las metas y los recursos para desarrollar la contratación de todas las licencias y soportes necesarios para LegalBog, herramienta mediante la cual la Secretaria Jurídica Distrital permite demostrar el cumplimiento de los fines constitucionales.</t>
  </si>
  <si>
    <t>Se realizaron actividades para el mantenimiento de los servidores Windows, plataforma de servidores, administración de las bases de datos, sistema de nómina, sitio web de la entidad, aplicativo de contabilidad, aplicativo de gestión documental, aplicativo de bienes físicos y funcionalidades de LegalBog.</t>
  </si>
  <si>
    <t>En el mes de febrero de 2023 se realizó el bloqueo de 10 direcciones IP en el firewall de la Secretaría; se presentó el autodiagnóstico de cumplimiento del Modelo de Seguridad y Privacidad de la Información en la Secretaría Jurídica Distrital presentando un porcentaje de avance del 95%; se trabajó en el mapa de riesgos de gestión de la Oficina de Tecnologías de la Información y las Comunicaciones los cuales serán gestionados en la vigencia 2023; se revisaron los manuales, procedimientos, formatos y demás correspondientes a la OTIC; Y se atendió visita de auditoría para validar el cumplimiento de las políticas de derechos de autor en la entidad.
Así mismo, se realizó análisis de vulnerabilidades a las 6 páginas web de los sistemas misionales; se realizó la actividad de identificación de vulnerabilidades técnicas de los servidores de producción, servidores de pruebas del sistema LegalBog y de la página web de la Secretaría; se dio inicio a la actividad referente a la identificación de bases de datos con información personal en cada área de la entidad con el fin de reportarlas ante el Registro Nacional de Bases de Datos; y se envió campaña de sensibilización sobre tips de construcción de contraseñas seguras a través del boletín interno de comunicaciones.</t>
  </si>
  <si>
    <t xml:space="preserve">Medir el número de informes de alertas y seguimiento reportados a las dependencias sobre los requerimientos presentados por la ciudadanía a través del Sistema Distrital para la Gestión de Peticiones Ciudadanas, Bogotá te Escucha. </t>
  </si>
  <si>
    <t>Medir el porcentaje de actos administrativos que requieren de publicación, comunicación y/o notificación, radicados ante la dependencia publicados dentro de los términos legales vigentes.</t>
  </si>
  <si>
    <t>Medir el desarrollo de las actividades establecidas en el Programa de Gestión Documental - PGD para la vigencia 2023 que contribuyan al cumplimiento de la política de gestión documental y por ende a la sexta dimensión Información y Comunicación del Modelo Integrado de Planeación y Gestión MIPG</t>
  </si>
  <si>
    <t>Medir el porcentaje de las publicaciones alusivas a la actualización de la declaración de bienes y rentas y la declaración de Conflicto de Intereses para contribuir a la participación de los funcionarios y colaboradores en la actualización de la información entre el 1ro de junio y el 31 de julio.</t>
  </si>
  <si>
    <t>Medir los contratos de prestación de servicios profesionales y/o apoyo a la gestión que se publican en la plataforma SECOP II con los requisitos de perfeccionamiento suscritos por la entidad en cumplimiento de la normatividad contractual vigente.</t>
  </si>
  <si>
    <t>Medir el porcentaje de órdenes de pago de los contratos suscritos por la entidad publicados en SECOP II, para el acceso a la información de las partes interesadas.</t>
  </si>
  <si>
    <t>Medir el nivel de percepción de los servicios prestados por el proceso de Gestión Contractual</t>
  </si>
  <si>
    <t>Se reporta el 98,25% que corresponde al resultado de la última encuesta de satisfacción de los servicios prestados por la SJD, aplicada en el mes de diciembre de 2022.</t>
  </si>
  <si>
    <t>No se presenta reporte para el mes de marzo.
Se está adelantando el proceso contractual, una vez se surta dicho proceso, se estima que las actividades en cumplimiento de esta meta inicien su ejecución a partir del mes de mayo de 2023.</t>
  </si>
  <si>
    <t>Durante el mes marzo de 2023, el equipo ODCLA adelantó una mesa de trabajo con el propósito de avanzar en la construcción de la primera línea de investigación definida y realizó la actualización sobre hallazgos en materia de contratación pública, lo cual puede ser consultado a través del enlace: https://lookerstudio.google.com/reporting/83356a6a-fff1-4d83-8125-c3e3105a22e1/page/p_lo1bc627wc
Por otra parte, se realizó una mesa de trabajo con la Personería Delegada de la Potestad Disciplinaria de la Personería de Bogotá, con el propósito de presentar el ODCLA y solicitar información de los datos abiertos de la entidad que sirvieran de insumo para las líneas de investigación establecidas para el Observatorio.
Finalmente, el equipo ODCLA asistió a la Segunda Plenaria de la Red Nacional de Observatorios Anticorrupción - RENOBA, desarrollada en el mes de marzo de 2023 con el propósito de fortalecer el Observatorio a nivel nacional. 
Con las actividades de consolidación y fortalecimiento al ODCLA gestionadas en el mes de marzo, se logra avanzar en el desarrollo de acciones, análisis y herramientas en los componentes de contratación y anticorrupción con el propósito de aportar a los organismos y entidades distritales recomendaciones y lineamientos para la toma de decisiones adecuadas en su gestión contractual y lucha anticorrupción.</t>
  </si>
  <si>
    <t>Con ocasión al contrato Nº 121 de 2023, las partes se reúnen con el fin de establecer aspectos de logística importantes para el correcto desarrollo y ejecución del mismo.  En torno al evento de reconocimientos se solicitó información sobre los reconocimientos propuestos en la oferta, y se recibió correo electrónico con la propuesta de trofeos para el evento.</t>
  </si>
  <si>
    <t>Durante el periodo correspondido entre el 1 y el 31 de marzo se analizó jurídica y financieramente, una base de 505 ESAL por los contratistas, de las cuales se determinó el estado de 250 de ellas, así: 
• 234 ESAL que una vez verificado el estado actual se remite requerimiento de documentos faltantes, con el fin de que se pongan al día con sus obligaciones ante este ente de IVC, lo que corresponde al 93,6% del total de las ESAL determinadas.
• 16 ESAL que, una vez verificado el estado actual, se encuentran al día en el reporte de la información jurídica, contable y financiera, lo que equivale a un 6,4% del total de las ESAL determinadas.</t>
  </si>
  <si>
    <t xml:space="preserve">De acuerdo con el plan de trabajo propuesto para la vigencia 2023 para la meta de “orientar a 2.000 servidores públicos distritales en materia de prevención de la falta disciplinaria”, en el mes de marzo se llevaron a cabo dos capacitaciones en las que se trataron los temas: “Lineamientos para la adecuada aplicación de tipicidad en el proceso disciplinario” y “La confesión y la aceptación de cargos en el proceso disciplinario” capacitaciones en las que se orientaron a 173 servidores públicos distritales, quienes a su vez diligenciaron el formato de asistencia por medio del respectivo link de cada capacitación. De igual forma contamos con las siguientes evidencias:  
• Pantallazos de las capacitaciones.
• Pantallazos de los formatos de asistencia.
• Correos enviados a las diferentes entidades distritales, invitándolos a las capacitaciones.
Para el mes de marzo de 2023, a pesar de haberse cumplido exhaustivamente con la publicidad y comunicación de la realización de las capacitaciones programadas para los días 17 y 31 de marzo, no se logró cumplir con el número de asistentes previsto en la meta inicial. Toda vez que se pretendía que las conferencias fueran atendidas por 222 servidores públicos del distrito, no obstante, sólo asistieron 173 personas de esta calidad.
Frente a las acciones, es pertinente indicar que por parte de la Dirección Distrital de Asuntos Disciplinarios se han tomado todas las gestiones correspondientes para alcanzar la meta propuesta. Prueba de ello, son las actividades de comunicación masiva que se han implementado para asegurar que el público objetivo tenga conocimiento sobre las capacitaciones ofrecidas por esta dirección. Teniendo en cuenta que, aunque la aceptación ha sido considerable, aun se requiere que los servidores públicos del distrito atiendan asertivamente la convocatoria.
Por lo anterior, la Dirección Distrital de Asuntos Disciplinarios duplicará su esfuerzo con el fin de comunicar reiteradamente la realización de las conferencias, de este modo, se seguirá enviando durante las dos semanas previas al evento, un correo electrónico media el cual se recordará a todas las dependencias sobre la realización de las capacitaciones. </t>
  </si>
  <si>
    <t xml:space="preserve">Durante el mes de marzo, se publicaron 21 proyectos de actos administrativos en la plataforma LegalBog y se reportaron 471 observaciones. Lo cual se traduce en que según la programación mensual, con esta cifra se eleva a un 125% de cumplimiento,  lo cual representa en la meta total el 124% de cumplimiento.         
En términos del incremento del 30% de la participación ciudadana, con el avance del mes de febrero, teniendo en cuenta la programación de la Meta, el indicador refleja un 37,6% de incremento.
Con ocasión al comportamiento de la participación ciudadana, se han remitido constantemente  a las cabezas de sector,  diferentes oficios recordando la importancia de  generar acciones de mejora que permitan un incremento significativo en los proyectos de actos administrativos que publican. No obstante,  el resultado no depende de la Dirección de Doctrina y Asuntos Normativos por no ser una gestión Directa. </t>
  </si>
  <si>
    <t>De las 471 observaciones que se reportan para el mes de marzo, se identificaron ciento siete (107) incidencias positivas de los comentarios realizados por la ciudadanía, lo que permite concluir que el  23% de los comentarios fueron tenidos en cuenta para el mejoramiento de la gestión normativa distrital. 
Ahora bien, de los proyectos de actos administrativos que fueron objeto de publicación se expidieron 8 decretos en el mes de marzo de 2023.</t>
  </si>
  <si>
    <t>MIPG: Desde la Oficina Asesora de Planeación, se presentó en el marco del grupo gestor de calidad la actualización del manual del Modelo Integrado de Planeación y Gestión – MIPG en su quinta versión y los principales cambios en las dimensiones y políticas. Así mismo, la entidad se encuentra diligenciando el autodiagnóstico y plan de sostenibilidad para la vigencia 2023. 
Cabe recordar que la Secretaría Jurídica Distrital ya cuenta con el módulo del MIPG en el aplicativo SMART lo que facilitará el seguimiento a dichos planes. Respecto al módulo MIPG se han reportado las incidencias respectivas y solicitado las mejoras para garantizar una adecuada gestión del plan MIPG
Se solicitó igualmente el primer seguimiento al primer trimestre del plan de sostenibilidad y el primer seguimiento al plan de gobierno abierto.
Indicadores: Se realizó el registro de los indicadores correspondientes al mes de febrero en el Smart y en el tablero de indicadores del mes de febrero el cual se encuentra publicado en página web de la entidad para consulta de la ciudadanía y grupos de interés. 
Plan de comunicaciones: En el mes de marzo se llevó a cabo la divulgación de LegalBog App a las 41 universidades por medio de correo electrónico y llamada, recibieron 3 piezas para la respectiva divulgación masiva a sus estudiantes. Se actualizó base de datos de las instituciones y se verificó el lenguaje claro de los siguientes documentos para su publicación: 1.  Documento del Plan Institucional de Gestión, Ambiental PIGA- 2023, 2. Plan de acción 2023 del Plan Institucional de Gestión Ambiental PIGA, 3. Plan de Acción Interno para el Manejo y Aprovechamiento de Residuos Sólidos -PAI 2023, 4. Resolución 471 de 2022 "Por la cual se adopta la Política Cero Papel de la Secretaría Jurídica Distrital y se dictan otras disposiciones", 5. Resolución 156 de 2019 "Por la cual se adopta la Política Ambiental de la Secretaría Jurídica Distrital" y 6. Informe de huella de carbono vigencia 2022. También se elaboraron las siguientes piezas comunicacionales: 1. Día del agua 2023, 2. Compromiso con la transparencia y 3. Infografía para la IVC.
Gestión Ambiental:  Al 30 de marzo de 2023 el avance en la implementación del Plan de Acción PIGA 2023 es de 17,8%. El avance de los programas PIGA a la fecha es: ahorro y uso eficiente del agua (25%), ahorro y uso eficiente de la energía (0%), gestión integral de residuos sólidos: (17,4%), consumo sostenible (30,8%), implementación de prácticas sostenibles (15%). Además, con corte a 30/03/2023 el Sistema de Gestión Ambiental cuenta con un porcentaje de implementación del Plan de Acción Interno para el manejo y aprovechamiento de residuos sólidos –PAI del 21,42%. Se realizó la formulación del Plan de Gestión Integral de Residuos Peligrosos -PGIRP el cual se cargó en el módulo de gestión ambiental del SMART. Además, en el marco del Programa de Consumo Sostenible se realizó la revisión de los estudios previos para la inclusión de los criterios y cláusulas ambientales de los procesos contractuales de a) telefonía móvil.</t>
  </si>
  <si>
    <t>Informe de gestión y resultados y seguimiento a plan de acción: Con el fin de apoyar la revisión y consolidación de información del Plan Operativo Anual de Inversión de la Entidad, en el mes de marzo se llevó a cabo la revisión y retroalimentación de los reportes del mes de febrero, de las dependencias encargadas de ejecutar las metas de los proyectos de inversión del Plan Distrital de Desarrollo. Al respecto y con el fin de acompañar el proceso, se realizaron ejercicios de retroalimentación necesaria para lograr información clara y oportuna. Por lo anterior, se realizó la socialización de las pautas para la presentación de informes de gestión y resultados con ocasión a la finalización del primer trimestre del año, a través del boletín interno de comunicaciones y en el grupo gestor del mes de marzo. 
Ahora bien, con ocasión al seguimiento de indicadores de la Secretaría Jurídica Distrital que aportan a los Objetivos de Desarrollo Sostenible ODS, en el mes de marzo se elaboró y remitió a la Secretaría Distrital de Planeación, el informe ODS de las 16 metas sectoriales de la Secretaría Jurídica Distrital, atendiendo lo dispuesto en la Circular 039 de 2022, así como los logros y resultados de las mismas con corte a 31 de diciembre de 2022, el cual se puede consultar a través del enlace: https://drive.google.com/drive/folders/1sgYtUv2IAl4LIeGEIsOyDrhnybbltn1r?usp=sharing
De otra parte, con el fin de propender por la mejora continua del protocolo de atención a la ciudadanía, se realizaron dos llamadas incógnitas de verificación de los canales y trámites de productos y servicios de la Entidad de cara a la ciudadanía, concluyendo que fue brindada la información de los canales de atención y de algunos trámites que realiza la Secretaría, con algunas observaciones que se tendrán en cuenta para socializar y mejorar en el futuro. La información fue contrastada con la referida en el Portafolio vigente.
Transparencia: Para el mes de marzo, se participó en la socialización de lineamientos y directrices de la medición del Índice de Transparencia de Bogotá 2022-2023 que medirá la gestión de 36 entidades en torno su gestión. Además, se adelantó la revisión de página web respecto a: acceso a enlaces, verificación de documentos con el último ente certificador, corrección de vigencias de documentos, actualización de documentos, adición de vigencias, corrección de datos y ortografía entre otros, gestión soportada en aproximadamente 75 correos de solicitudes. Así mismo, se dio lectura a los 10 capítulos del índice de transparencia de Bogotá- ITB, se identificó y descargó información que se tenía en página web y aplicativo SMART-documentos, seguidamente se procedió a realizar mesas de trabajo con las distintas dependencias para solucionar en vivo preguntas y otras que necesitaban revisión y búsqueda se remitieron a los respectivos correos electrónicos para su solución con los respectivos soportes. También se Participó en cuatro mesas de trabajo de la Secretaría General en torno a solucionar dudas e inquietudes de las distintas temáticas del ITB.
Sistema de Gestión de Calidad: Durante el mes de marzo se realizó aprobación de algunas solicitudes de eliminación, creación y actualización de la documentación necesaria para el Sistema Integrado de Gestión, en total se recibieron 17 solicitudes, de las cuales se les dio aprobación para continuar con el flujo de revisión hasta la publicación.  Además se continuo con la actualización de 30 tickets,  8 de creación y 4 de eliminación. Durante este periodo, se fortaleció la eficiencia y la economía en los documentos del Sistema Integrado de Gestión, mediante el tratamiento de los diversos planes de mejoramiento y el autocontrol en los procesos de la Secretaria Jurídica Distrital. Se dio la publicación a 17 documentos durante el periodo del mes de marzo.</t>
  </si>
  <si>
    <t>Estrategia de Apropiación del Sistema de Gestión de Calidad: Para el mes de marzo, la Oficina Asesora de Planeación preparó y lideró el grupo gestor de calidad, realizado el viernes 31 de marzo en donde se trataron los siguientes temas: Índice de innovación pública 2021 - 2022 en compañía del equipo de gestión del conocimiento y la innovación, esto con el fin de socializar el instrumento junto con las preguntas para recolectar las innovaciones desarrolladas por la entidad para dicha vigencia. Además se presentaron los cambios en el manual del Modelo Integrado de Planeación y Gestión - MIPG y el seguimiento al plan de sostenibilidad para el primer trimestre. Por último, se dan los lineamientos para la presentación del informe de gestión y resultados y el seguimiento a los proyectos de inversión. En el mes de marzo, también se realizó un grupo gestor de calidad extraordinario en donde la Dirección Distrital de Política Jurídica presentó el modelo de gestión jurídica anticorrupción.
Plan Anticorrupción y de Atención al Ciudadano: Desde la Oficina Asesora de Planeación, se realizó el seguimiento de las actividades programadas para la Oficina Asesora de Planeación para el mes de marzo de 2023. Además, de conformidad con la solicitud de modificación de algunas actividades programadas en el Plan Anticorrupción y de Atención al Ciudadano - PAAC, por parte de la Dirección de Política Jurídica y Oficina Asesora de Planeación, se generó versión número 2 del PAAC, el cual se puede consultar en el siguiente link: https://www.secretariajuridica.gov.co/4-planeacion-presupuesto-e-informes?field_fecha_de_emision_document_value=10&amp;field_4_planeacion_presupuesto_e_target_id=145 .Se solicitó elaboración y divulgación de pieza comunicacional para incentivar en los servidores y colaboradores de la Entidad la cultura para presentar denuncias por posibles actos de corrupción, contravenciones o faltas disciplinarias en caso de tener conocimiento.
Ley de Transparencia y Acceso a la Información: Se solicitó la publicación de diferentes documentos en la página web a la Oficina de Tecnologías de la Información y las Comunicaciones - TIC, igualmente se hizo el respectivo seguimiento. De acuerdo a la revisión que efectuaron de la página web, para verificar requisitos del Índice de Transparencia de Bogotá, se realizaron 39 solicitudes a la Oficina de TIC, a fin de actualizar y armonizar la página web a los requisitos normativos y de visualización. Por último, se realizó la revisión del registro de las agendas de los directivos de la entidad en la plataforma Gobierno Abierto Bogotá – GAB, por lo tanto, se realizaron reuniones presenciales y virtuales con las dependencias Despacho de la SJD, Subsecretaría, Dirección de Gestión Judicial y Dirección de IVC para enseñarles a realizar la creación de los usuarios de los directivos y el registro de las agendas. Así mismo, fue necesario solicitar la activación de rol de dos usuarios nuevos.</t>
  </si>
  <si>
    <t>En el mes de marzo, se adquirieron las licencias de antivirus eScan, las cuales empezaron a funcionar a partir del 10 de marzo y por un periodo de 12 meses, con lo cual se asegura que la información gestionada, almacenada y trasmitida esté asegurado. 
Respecto al sistema información LEGALBOG, se realizó seguimiento a los Componentes Operativos Tecnológicos del Sistema - COTS que componen el sistema de información; y se ejecutaron las tareas de entrenamiento del sistema Reconocimiento Óptico de Caracteres u Optical Character Recognition - OCR para el reconocimiento del texto, el cual permite la optimización de las búsquedas de información en el sistema, por ende, estas serán más agiles y efectivas.</t>
  </si>
  <si>
    <t>En el mes de febrero de 2023 se realizó el bloqueo de más de 100 direcciones IP en el firewall de la Secretaría; y se presentó el autodiagnóstico de cumplimiento del Modelo de Seguridad y Privacidad de la Información en la Secretaría Jurídica Distrital presentando un porcentaje de avance del 96%.
Así mismo, se realizó análisis de vulnerabilidades a las 6 páginas web de los sistemas misionales; se realizó la actualización del reporte de bases de datos con información personal en la página web del Registro Nacional de Bases de Datos; y se envió campaña de sensibilización sobre tips de construcción de contraseñas seguras a través del boletín interno de comunicaciones.</t>
  </si>
  <si>
    <t>Durante el periodo, se realizó la priorización de tres líneas de investigación  relacionadas con las temáticas de conductas penales y disciplinarias en el marco de la lucha contra la corrupción administrativa en el Distrito Capital; naturaleza jurídica y régimen de contratación de las entidades exceptuadas del estatuto de contratación; y análisis de los mecanismos de protección al denunciante.
Adicionalmente se desarrollaron actividades de elaboración de infografías; participación en la plenaria Renovar y en el evento de Integridad y transparencia en la Administración Distrital; elaboración propuesta de Looker Studio  - Tipologías Penales y disciplinarias; construcción del insumo para la elaboración de video didáctico sobre el ODCLA; entre otras.</t>
  </si>
  <si>
    <t>En cuanto al estudio de análisis jurídico programado para la actual vigencia, relacionado con el "Uso de mecanismos alternativos de resolución de conflictos", al respecto, se suscribió acta de inicio del contrato, se entregó el cronograma de trabajo y se presentó el documento normativo a modo de documento de relatoría.
Ahora bien, en cuanto a los documentos pendientes del 2022, durante el periodo del presente informe se realizó la entrega del documento definitivo del análisis titulado "Régimen de inhabilidades, incompatibilidades y conflicto de intereses de servidores y servidoras públicas". En la jornada participaron en promedio 160 personas y se contaba con  656 visualizaciones en el canal de YouTube con corte a 31 de marzo de 2023.
Con la presentación definitiva de este segundo documento, se cumple la meta de los análisis jurídicos del 2022.</t>
  </si>
  <si>
    <t xml:space="preserve">Durante el periodo del reporte, desde la Dirección de Política Jurídica, se realizaron entre otras las siguientes actividades: 
Entrega del plan de trabajo para la ejecución del contrato 084 en la vigencia 2023 el cual se encuentra en revisión y ajustes por parte de la supervisión; gestiones para la articulación con la Subsecretaría de Servicio al Ciudadano de la Secretaría General frente a la Política de Racionalización de trámites; 7 capacitaciones para el cargue de las agendas regulatorias en el Módulo de LegalBog,  a las/los funcionarios de las oficinas jurídicas de las entidades Distritales; y difusión del artículo sobre la Directiva 2 de 2023 y el taller presencial sobre el Análisis de Impacto Normativo ofertado por el Departamento Nacional de Planeación. </t>
  </si>
  <si>
    <t>Durante el periodo del reporte, desde la Dirección de Política Jurídica se realizaron entre otras las siguientes actividades: 
Se rindió informe sobre la implementación del Acuerdo Distrital 846 de 2022; se dio respuesta a la Secretaría de Cultura sobre el cargue de la agenda regulatoria con el radicado 2-2023-3201; y se acordó con la Subsecretaría de Servicio a la Ciudadanía de la Secretaría General de la Alcaldía Mayor llevar a cabo un Taller de lenguaje claro en trámites y servicios en el marco de la Política de Racionalización de Trámites para el mes de julio de 2023. 
Así mismo, se llevó a cabo el seguimiento del plan de trabajo de la política de gobernanza regulatoria con el DNP; se recomendó a la Dirección Distrital de Doctrina y Asuntos Normativos dar alcance a la Directiva 009 de 2022 del manual distrital de técnica normativa; y se dio inició a la revisión de la guía sobre la elaboración de decretos únicos sectoriales, de las cuales se  hace entrega de los primeros avances con observaciones.</t>
  </si>
  <si>
    <t>Número de procesos terminado con fallo favorable para el DC</t>
  </si>
  <si>
    <t>Comprende todos los procesos terminados para el D.C., registrados dentro de un período determinado</t>
  </si>
  <si>
    <t>Con las actividades realizadas por la Dirección Distrital de Gestión Judicial, en el mes de enero de 2023, se logró mantener un éxito Procesal superior a la Meta Planteada, es decir que se estableció una meta mínima del 88,9%, y  el éxito procesal del mes de enero corresponde al 88,05% .
Para el período comprendido entre el 01-01-2020 hasta el 31-01-2023 se obtuvo un Éxito Procesal Cuantitativo del 88,90%, que corresponde a la proporción entre, los 55.930 procesos terminados que fueron fallados a favor del Distrito Capital y el total de procesos terminados durante el período de reporte (a favor y en contra), equivalentes a 62.913 procesos. De esta manera, durante el periodo objeto de reporte, se superó la meta propuesta representada en la cantidad de procesos terminados favorablemente para el Distrito Capital, considerando que la línea base corresponde a un 83%.</t>
  </si>
  <si>
    <t xml:space="preserve">Con las actividades realizadas por la Dirección Distrital de Gestión Judicial, en el mes de febrero de 2023, se logró mantener un éxito Procesal superior a la Meta Planteada, es decir que se estableció una meta mínima del 83%, y el éxito procesal del mes de febrero corresponde al 88,33% 
Para el período comprendido entre el 01-01-2020 hasta el 28-02-2023 se obtuvo un Éxito Procesal Cuantitativo del 88,33%, que corresponde a la proporción entre, los 58.002 procesos terminados que fueron fallados a favor del Distrito Capital y el total de procesos terminados durante el período de reporte (a favor y en contra), equivalentes a 65.666 procesos. 
De esta manera, durante el periodo objeto de reporte, se superó la meta propuesta representada en la cantidad de procesos terminados favorablemente para el Distrito Capital, considerando que la línea base corresponde a un 83%. </t>
  </si>
  <si>
    <t xml:space="preserve">Con las actividades realizadas por la Dirección Distrital de Gestión Judicial, en el mes de marzo de 2023, se logró mantener un éxito Procesal superior a la Meta Planteada, es decir, que se estableció una meta mínima del 83%, y  el éxito procesal del mes de enero corresponde al 88,21% , como se puede evidenciar 
para el período comprendido entre el 01-01-2020 hasta el 31-03-2023 se obtuvo un Éxito Procesal Cuantitativo del 88,21%, que corresponde a la proporción entre, los 59.649 procesos terminados que fueron fallados a favor del Distrito Capital y el total de procesos terminados durante el período de reporte (a favor y en contra), equivalentes a 67.624 procesos. 
De esta manera, durante el periodo objeto de reporte, se superó la meta propuesta representada en la cantidad de procesos terminados favorablemente para el Distrito Capital, considerando que la línea base corresponde a un 83%. </t>
  </si>
  <si>
    <t>(Sumatoria de las observaciones revisadas a los actos administrativos) / (Total de proyectos de actos administrativos con observaciones presentadas por la ciudadanía y/o partes interesadas , multiplicado por el factor de participación esperado) *100</t>
  </si>
  <si>
    <t>Total de proyectos de actos administrativos con observaciones presentadas por la ciudadanía y/o partes interesadas , multiplicado por el factor de participación esperado</t>
  </si>
  <si>
    <t>MIPG: Desde la Oficina Asesora de Planeación se realizó el cargue en el Smart de los lineamientos de las políticas MIPG para llevar a cabo los autodiagnósticos MIPG 2023.  Se llevaron a cabo mesas de trabajo con ITS para la adecuada gestión del módulo MIPG, se lleva seguimiento de las novedades realizadas y el estado de ajuste. Además, se generaron 26 mesas de trabajo para la aplicación de los autodiagnósticos y la definición del plan de sostenibilidad con las dependencias: 
- Dirección de gestión corporativa
- Oficina de tecnologías de la información y las comunicaciones
- Oficina de control interno
- Oficina asesora de planeación
- Dirección distrital de gestión judicial
- Dirección de inspección, vigilancia y control
Indicadores: 
Se realizó la actualización de Indicadores 2023, en donde fue necesario la realización de mesas de trabajo con las dependencias para la actualización de todas las hojas de vida de los indicadores propuestos para la vigencia 2023. Además, se crearon los indicadores de efectividad: Se realizó creación de 5 indicadores de efectividad, atendiendo a la oportunidad de mejora 739
• Número de seguidores alcanzados en la red social Twitter. 
• Porcentaje de satisfacción de los ejercicios de auditoría interna
• Nivel de satisfacción de las orientaciones realizadas a los servidores públicos del Distrito Capital. 
• Nivel de impacto de las capacitaciones realizadas con recursos de la Entidad
• Nivel de percepción favorable de los servicios del proceso de Gestión Contractual
Políticas públicas: En el mes de febrero de 2023, la Entidad participó en el proceso de formulación del plan de acción de la Política Pública de Participación Incidente; para lo cual, se llevaron a cabo mesas de trabajo al interior de la Entidad con la Dirección Distrital de Doctrina y Asuntos Normativos y con la Oficina Asesora de Planeación. Como resultado de este ejercicio, la Secretaría Jurídica tendrá responsabilidad en 2 productos y corresponsabilidad en 1. La responsabilidad en los productos de las políticas públicas significa que la Entidad asumirá directamente el compromiso con la ejecución de las actividades planeadas y asumirá recursos (funcionamiento y/o inversión) para su desarrollo. La corresponsabilidad, por su parte, hace alusión al aporte en el cumplimiento del producto, el cual es compartido con otras entidades del Distrito para su materialización.
Rendición de cuentas: En el mes de febrero se realizaron actividades de gestión para dar respuesta a requerimientos de la Secretaría Distrital de Planeación y Veeduría Distrital en relación con la estrategia de rendición de cuentas 2023. Por otra parte, se realizaron actividades de alistamiento para el desarrollo de la Audiencia Pública de rendición de cuentas de la Entidad, relacionadas con la solicitud de elaboración y difusión de piezas gráficas, socialización del evento en el comité institucional de gestión y desempeño y demás reuniones al interior de la Entidad.
Seguimiento a Compromisos con Usuarios de la Entidad: En el mes de febrero se llevaron a cabo mesas de trabajo con las dependencias de la Entidad para hacer seguimiento a los compromisos asumidos en los distintos espacios de interacción. Así mismo, se socializó la plataforma web Colibrí de la Veeduría Distrital, en donde se deberán registrar todos los que en adelante se adquieran para el correspondiente cumplimiento. El estado, evidencias y detalle de los compromisos asumidos por la Entidad podrán ser consultados a través del enlace: 
http://colibri.veeduriadistrital.gov.co/compromisos?sector=47&amp;entidad=84&amp;localidad=All&amp;instancia=All&amp;field_nombre_instancia_no_reglam_value=All
Portafolio de productos: En el mes de Febrero se llevó a cabo la elaboración de las piezas y portafolio de productos y servicios que se van a divulgar a las diferentes instituciones, se verificaron los contenidos que se generaron. Así mismo, se realizó el portafolio de la TI dando cumplimiento a dicha obligación. 
Proyectos de Inversión en SUIFP – SPI, Anteproyecto de Presupuesto y PMR: Durante el mes de febrero, desde la Oficina Asesora de Planeación se actualizó el documento de formulación del proyecto de inversión 7608 para la vigencia 2023. Además, se realizó la programación al Plan de Acción del Plan de Desarrollo "Un Nuevo Contrato Social y Ambiental para la Bogotá del Siglo XXI” de la vigencia 2023 en el sistema SEGPLAN. Además, se realizó el “Informe Productos, Metas y Resultados PMR” Corte 31 de diciembre de 2022 y generó el archivo de reservas presupuestales 2023 y se envió mediante correo electrónico a los profesionales que apoyan el reporte de ejecución de los proyectos. Se proyectó oficio para la Secretaría Distrital de Planeación en cumplimiento a la acción definida en el Plan de Mejoramiento con la Contraloría Distrital y se ajustó el formato CB-0422 de la cuenta anual de la Contraloría, conforme a lo establecido en la Circular 003-2023 de la Contraloría Distrital. Por último, se actualizó el procedimiento 2310100-PR-011 Seguimiento y control a la gestión Institucional V3, en cumplimiento a la acción definida en el Plan de Mejoramiento con la Contraloría Distrital y se proyectó respuesta a la Dirección de Doctrinas y Asuntos Normativos, frente a la meta sectorial del Plan de Desarrollo (Acuerdo 761 de 2020) Incrementar en un 30% la participación ciudadana en la formulación de observaciones frente a los proyectos de actos administrativos distritales.
Gestión Ambiental: La Oficina Asesora de Planeación durante el mes de febrero de 2023 realizó las siguientes actividades:
En el marco del Programa de Consumo Sostenible se realizó la revisión de los estudios previos para la inclusión de los criterios y cláusulas ambientales de los procesos contractuales de a ) bienestar e incentivos, b) operador logístico, y c )correo y mensajería.
Además, y en el marco del Programa de Gestión Integral de Residuos Sólidos, se realizó acompañamiento a la Dirección de Gestión Corporativa para el manejo, gestión y disposición final de RAEES dados de baja. También se realizó la creación de lineamientos del componente ambiental del plan de sostenibilidad en el módulo del MIPG en el aplicativo SMART. Se elaboró y remitió el día 08 de febrero a través del STORM de la Secretaría Distrital de Ambiente el informe de reencauche de llantas correspondiente a la vigencia 2022.
El día 08 de febrero se realizó el cargue de las evidencias relacionadas con el Sistema de Gestión Ambiental de la Secretaría Jurídica Distrital dentro del Portal Web del Plan Distrital de Gestión del Riesgo de Desastres y Cambio Climático - PDGRDCC, correspondientes al segundo semestre de 2022. Así mismo, se realizó el cargue de las evidencias relacionadas con el Sistema de Gestión Ambiental de la Secretaría Jurídica Distrital dentro del Portal Web del Plan Distrital de Gestión del Riesgo de Desastres y Cambio Climático - PDGRDCC, correspondientes al segundo semestre de 2022.</t>
  </si>
  <si>
    <t>Si bien Para la meta número 3 del proyecto de inversión, se programó un total de 2 instrumentos de apropiación para los temas estratégicos y desafíos institucionales por parte de los servidores. Los instrumentos son: Plan Anticorrupción y de Atención al Ciudadano 2023 y la Estrategia de Apropiación del Sistema de Gestión de Calidad (Grupo Gestor, Ruta de la Calidad, caracterización de usuarios y preparación de auditoría).
Plan Anticorrupción y de Atención al Ciudadano: Desde la Oficina Asesora de Planeación se solicitó a la Dirección de Inspección, Vigilancia y Control la divulgación del Plan Anticorrupción y de Atención al Ciudadano – PAAC 2023 a las ESAL. Así mismo, se socializó en la Oficina Asesora de Planeación el PAAC 2023, a fin que cada uno de los servidores y colaboradores tengan en cuenta las actividades asignadas para ejecutar durante la presente vigencia.
Estrategia de Apropiación del Sistema de Gestión de Calidad: Para el mes de febrero, la Oficina Asesora de Planeación preparó y lideró el grupo gestor de calidad, realizado el jueves 09 de febrero en donde se trataron los siguientes temas: Módulo del Modelo Integrado de Planeación y Gestión – MIPG en SMART, recomendaciones sobre la actualización de la documentación de los procesos (caracterización, procedimientos, formatos, guías, manuales, etc.). Además se habló de los planes de mejoramiento para la vigencia 2023 y sus respectivas fechas de finalización y por último la metodología para la formulación de riesgos de gestión de los procesos del SIG.
Plan de comunicaciones: Desde la Oficina Asesora de Planeación se apoyó a la entidad en el Plan de Comunicaciones por medio de la elaboración y diagramación de piezas comunicacionales para su divulgación. Para el mes de febrero, se cumplió con el diseño y elaboración de las siguientes piezas comunicacionales.
• Portada para Primer informe de Alertas Tempranas 2023.
• Pieza para divulgación del informe de Alertas Tempranas 2023.
• Pieza Comunicacional para divulgación de los cursos soy 10
• Pieza comunicacional de divulgación de la evaluación de desempeño.
• Pieza Comunicacional para divulgación del Boletín Ambiental.
• Pieza Comunicacional para divulgación del Informe de huella de carbono 2022.
• Pieza Comunicacional para divulgación del manejo de residuos en la Secretaría Jurídica Distrital.
• Pieza Comunicacional para divulgación de la capacitación de Bici usuarios.
• Pieza comunicacional para divulgación de la capacitación sobre Eco conducción.
• Pieza Comunicacional para divulgación de la capacitación sobre separación y manejo de residuos sólidos.
• Pieza comunicacional para divulgación de la Capacitación sobre Compras Sostenibles.
• 2 banners para página web para divulgación de la rendición de cuentas de la vigencia 2022
• 1 pieza para redes sociales para divulgación de la Rendición de Cuentas 2022.
• Edición de video – Mesas de trabajo. Gestión de corporativo.
• Edición de video tutorial - registro y presentación SIPROJ.
• Edición de video tutorial - Búsqueda de procesos SIPROJ.</t>
  </si>
  <si>
    <t>En el mes de marzo se desarrollaron las siguientes acciones:
Se realizó 1 reunión con los usuarios para realizar los ajustes y nuevas definiciones al módulo de Régimen Legal incluido en la APP. Así mismo, se ajustó la base de datos de LegalBog para mejorar la cantidad de comentarios en cada uno de los documentos publicados en esta opción del menú. 
• En el módulo de Legalbog desarrollado en la App, se socializaron múltiples ajustes, ejemplo, la interfaz de los comentarios la cual permite visualizar las intervenciones de los ciudadanos y permite visualizar un filtro con más detalle, el cual facilita la búsqueda de los actos administrativos y demás documentos jurídicos.
• Por último, en el módulo de Régimen Legal desarrollado en la App, se tiene en el ambiente de pruebas, la creación de un botón para hacer consulta del POT, se solicitó la creación de una tabla para crear múltiples opciones dinámicas buscando que los usuarios administradores puedan configurar múltiples opciones dentro del sistema de información y se pueda visualizar los datos requeridos de manera rápida y organizada de la Entidad.</t>
  </si>
  <si>
    <t>Se realizaron las tareas contractuales, referentes a estudios previos, de mercado y análisis de sector requeridos para adelantar el proceso de contratación 	ORACLE y que la plataforma siga prestando sus servicios de manera óptima. Consecuencia de esta tarea es la firma de la orden de compra No 103678 cuyo objeto es “Adquirir el servicio de soporte y actualización para Software y Hardware Oracle de la SJD” con lo cual se garantiza un adecuado servicio sobre esta infraestructura de TI.
De igual manera se dio inicio a las tareas contractuales de Bisagi, y antivirus.  Respecto a bisagi, este software es el encargado del manejo y administración de proceso dentro del sistema LegalBog, al ser parte fundamental del sistema de información, es necesario adquirirlo en el primer mes y que las licencias se ajusten al requerimiento de la entidad. 
Frente al tema del antivirus este, es requerido con el fin de proporciona una solución de seguridad unificada para proteger y gestionar datos, sistemas y redes de la Secretaría Jurídica Distrital, este utiliza una combinación de tecnologías avanzadas para proporcionar monitoreo y protección en tiempo real contra la evolución de amenazas cibernéticas tales como Ransomware, Dos, APT o ataques dirigidos previniendo:
•	Fuga de información.
•	Defensa y remediación de amenazas de malware.
•	Prevención de ramsomware
A la fecha del presente informe, nos encontramos en el curso del proceso de contratación por selección abreviada SJD-SASI-001-2023.</t>
  </si>
  <si>
    <t xml:space="preserve">Gestionar el 100% de los requerimientos jurídicos dentro de los tiempos establecidos </t>
  </si>
  <si>
    <t>Porcentaje de requerimientos jurídicos gestionados dentro de los tiempos establecidos</t>
  </si>
  <si>
    <t>Incrementar al menos en un 10% (380) en la vigencia, los seguidores en la red social Twitter.</t>
  </si>
  <si>
    <t>Número de seguidores alcanzados en la red social Twitter</t>
  </si>
  <si>
    <t xml:space="preserve">Medir el aumento del número de seguidores en la red social Twitter con el propósito de posicionar esta red social de la entidad. </t>
  </si>
  <si>
    <t>Corresponde a los seguidores nuevos propuestos a alcanzar en la red social de Twitter, al final  la vigencia 2023 correspondiente a (379 seguidores, aproximando a 380 seguidores al finalizar la vigencia)</t>
  </si>
  <si>
    <t>Garantizar las publicaciones internas en un promedio de 3 días hábiles</t>
  </si>
  <si>
    <t>Garantizar el 98% de la disponibilidad de los servicios tecnológicos de la Entidad</t>
  </si>
  <si>
    <t>Representar judicial y extrajudicialmente el 100% de los procesos de competencia de la Secretaría Jurídica Distrital</t>
  </si>
  <si>
    <t>Porcentaje de procesos judiciales y extrajudiciales de la D.D.G.J. representados jurídicamente por la D.D.G.J.</t>
  </si>
  <si>
    <t>Cantidad de procesos representados judicial y extrajudicialmente por la SJD</t>
  </si>
  <si>
    <t>Procesos notificados, los cuales cumplen con las condiciones para ser representados judicial y extrajudicialmente por parte de la SJD, una de las condiciones es que sean de alto impacto para el D.C., ya sea económico o social.</t>
  </si>
  <si>
    <t>calculo automático dependiente de la participación ciudadana</t>
  </si>
  <si>
    <t>(Total de proyectos de actos administrativos para firma de la alcaldesa con revisión de legalidad en el período) / (Sumatoria del número de solicitudes para revisión de legalidad recibidas en el período) *100</t>
  </si>
  <si>
    <t>Total de proyectos de actos administrativos para firma de la alcaldesa con revisión de legalidad en el período</t>
  </si>
  <si>
    <t xml:space="preserve">Lograr un nivel de satisfacción del 98% con calificación muy satisfecho y satisfecho, mediante la aplicación de la encuesta de satisfacción de asesorías en los espacios de acompañamiento brindados, para el fortalecimiento del desempeño de los procesos de la Entidad.  </t>
  </si>
  <si>
    <t>Equipo OAP</t>
  </si>
  <si>
    <t xml:space="preserve">Tiempo promedio utilizado para entregar los planes, con respecto a los términos establecidos. </t>
  </si>
  <si>
    <t xml:space="preserve">Tiempo promedio utilizado para entregar los planes con respecto a los términos establecidos. </t>
  </si>
  <si>
    <t>Corresponde al total de actividades programadas en el Plan Anual de Auditorías en la vigencia</t>
  </si>
  <si>
    <t>Hace referencia a las encuestas aplicadas para evaluar la satisfacción de las orientaciones realizadas a los servidores públicos y operadores disciplinarios del Distrito Capital, que arrojan resultado satisfactorio.
Se consideran resultados satisfactorios aquellos calificados con 4 o 5, según promedio de las diferentes preguntas de la encuesta.</t>
  </si>
  <si>
    <t>Tiempo promedio de expedición de los certificados de IVC competencia de la Secretaría Jurídica Distrital.</t>
  </si>
  <si>
    <t>Incorporar y gestionar el 100% de la información jurídica en los sistemas de información jurídica</t>
  </si>
  <si>
    <t>Numero de jornadas de orientación para el fortalecimiento del cuerpo de abogados del distrito del D.C.</t>
  </si>
  <si>
    <t xml:space="preserve">Comprende las jornadas de
orientación jurídica para el cuerpo
de abogados del D.C. que se
ejecuten en el periodo evaluado
por parte de la Dirección Distrital
de Política Jurídica . </t>
  </si>
  <si>
    <t xml:space="preserve">Registros de asistencia y formatos
que maneja la Dirección Distrital de
Política Jurídica para consolidar el
número de jornadas de orientación
jurídica para el cuerpo de abogados
del D.C. </t>
  </si>
  <si>
    <t>Registros de asistencia y formatos que maneja la Dirección
Distrital de Política Jurídica para consolidar el número de
jornadas de orientación jurídica para el cuerpo de abogados del
D.C. - Vigencia 2021</t>
  </si>
  <si>
    <t>Participar en todas las actividades relacionadas las políticas publicas e instancias de coordinación a cargo de la Dirección Distrital de Política Jurídica</t>
  </si>
  <si>
    <t>Determinar la participación activa de la Entidad en las diferentes instancias de coordinación distritales, mediante el control del registro de los formularios y la
programación de la vigencia, para dar cumplimiento a las funciones asignadas a la dependencia.</t>
  </si>
  <si>
    <t>(Número de participaciones activas en
instancias de coordinación/Número total de
instancias de coordinación programadas)*100</t>
  </si>
  <si>
    <t>Medir el porcentaje de ejecución de los recursos asignados a la Secretaría Jurídica Distrital, mediante el seguimiento a la ejecución presupuestal, para garantizar la ejecución de recursos de funcionamiento y el cumplimiento de las metas de proyectos de inversión de la Entidad.</t>
  </si>
  <si>
    <t>Mediante correo del 12 de julio, José Francisco Arias Pachón modifica el objetivo del indicador</t>
  </si>
  <si>
    <t>(Número de Declaraciones de conflicto de interés entregadas/total de funcionarios en planta)*100</t>
  </si>
  <si>
    <t>Ejecutar el 100% del Plan de bienestar e incentivos de la Secretaría Jurídica Distrital.</t>
  </si>
  <si>
    <t>Aumentar el porcentaje de ahorro de papel en la Secretaría Jurídica Distrital a través de la implementación de medidas y estrategias en el marco de Cero Papel, con el fin de contribuir con la austeridad del gasto, con la conservación de los recursos naturales, con el  control de los impactos ambientales negativos generados por la entidad, y con la optimización de las estrategias tecnológicas y de gestión documental.</t>
  </si>
  <si>
    <t>Es la cantidad en kilogramos de todos residuos sólidos aprovechados en el período de medición entre los que se encuentran cartón, papel, vidrio, plástico, metal, etc.</t>
  </si>
  <si>
    <t>(Sumatoria del total de diligencias probatorias practicadas en el período) / (Sumatoria del total de diligencias probatorias a realizar en  el período)*100</t>
  </si>
  <si>
    <t>Sumatoria del total de diligencias probatorias a realizar en  el período</t>
  </si>
  <si>
    <t>Corresponde al total de diligencias probatorias a realizar en  el período</t>
  </si>
  <si>
    <t>Son proyectos de políticas o de lineamientos propuestos a la Subsecretaría Jurídica Distrital, en temas de prevención del daño antijurídico</t>
  </si>
  <si>
    <t xml:space="preserve">Lograr participar al 100% de las actividades relacionadas con las políticas publicas e instancias de coordinación a cargo de la Dirección Distrital de Política Jurídica mediante el control del registro de los formularios y las solicitudes realizadas a demanda, para dar cumplimiento a las funciones asignadas a la dependencia. </t>
  </si>
  <si>
    <t>(Número total de actividades ejecutadas relacionadas con las políticas políticas publicas e instancias de coordinación en el trimestre/Número total de actividades programadas y por demanda relacionadas con las políticas políticas publicas e instancias de coordinación en el trimestre)*100</t>
  </si>
  <si>
    <t xml:space="preserve">Actividades relacionadas con las políticas políticas publicas e instancias de coordinación </t>
  </si>
  <si>
    <t>Actualizar el 100% de los lineamientos de la Política Publica de Gobierno Digital en la entidad</t>
  </si>
  <si>
    <t>Este indicador se mide trimestral</t>
  </si>
  <si>
    <t xml:space="preserve">El Proyecto 7621 con corte a 30 de marzo de 2023 tiene $ 3.058.932.214 comprometidos para el logro de las metas y se lograron concretar 47 contratos. Lo anterior implica compromisos presupuestales por el 77.65% </t>
  </si>
  <si>
    <t xml:space="preserve">En el primer trimestre de 2023, se gestionaron oportunamente 281 requerimientos de competencia de la Subsecretaría. En el Anexo se remite el detalle de los requerimientos y su tipología. </t>
  </si>
  <si>
    <t>1- Se logró  un incremento de 124 seguidores, 24 seguidores por encima del objetivo planteado para la red social Twitter. 2 Generar contenidos que fueran útiles para el público, en especial el nuevo público, en donde visibilizamos las páginas con nuestras herramientas, como análisis, proyectos de decreto, consolidados de la normativa, nuestra app, la biblioteca virtual, entre otras. nos propusimos como objetivo realizar trinos un trino diario de lunes a viernes, para un total de 60 trinos, sin embargo, variables como noticias de último minuto y las sinergias distritales, incrementaron este volumen, para un total de 133 trinos, lo cual favorece las cifras de esta red social</t>
  </si>
  <si>
    <t xml:space="preserve">Se ha realizado un control permanente a 95 solcitudes de publicación de campañas de comunicación interna  durante el primer trimestre de la vigencia 2023. Se ha  garantizado que el cien por ciento de las soclitudes efectuadas por usuarios internos y de entidades distritales se divulgen en un plazo máximo de tres dias en los canales internos de comunicación en  la entidad.   </t>
  </si>
  <si>
    <t>En el primer trimestre del año, se coordinó la gestión de incidencias y solicitudes de soporte; se realizó la administración de las cuentas y licencias de correo procediendo a la cancelación, reactivación y creación según las necesidades de la Entidad; se administró el licenciamiento de software; y se gestionó la solución de problemas de la infraestructura informática de la Secretaría Jurídica Distrital; entre otras.</t>
  </si>
  <si>
    <t>Se siguieron los procedimientos estándar definidos para dar respuestas, realizar análisis, documentación, gestión continua y reporte oportuno y eficiente de los requerimientos de servicios de TIC, con ello se busca mejorar la percepción del la oficina TIC a través de un esquema profesional en la pronta resolución y comunicación en la atención de los requerimientos, cuando estos se generen.</t>
  </si>
  <si>
    <t>Este indicador es trimestral; sin embargo comienza en el segundo trimestre</t>
  </si>
  <si>
    <t>Este indicador se mide anual</t>
  </si>
  <si>
    <t>Este indicador se mide semestral</t>
  </si>
  <si>
    <t>En el primer trimestre de 2023 se representó judicial y extrajudicial y con éxito todos los procesos que se encuentran a cargo de la Secretaría Jurídica por lo que, los 643 procesos activos se representaron jurídicamente al 100%, blindando de esta manera, al Distrito Capital.</t>
  </si>
  <si>
    <t>Se ha logrado mejorar el porcentaje de depuración de la información y un mejor registro de la nueva que se ingresa, lo cual permite entregar en tiempo real información más acertada y en tiempo real, para agilizar la toma de decisiones</t>
  </si>
  <si>
    <t>Durante el primer trimestre del año 2023, la DDDAN gestionó la revisión de legalidad, en el marco de las competencias establecidas en el Decreto 323 de 2016 y sus normas modificatorias, de los siguientes trámites que requieren la firma de la Alcaldesa Mayor. Lo anterior, a partir de las solicitudes realizadas por diferentes entidades distritales:
1. DECRETOS: Se revisaronnoventa y cinco (97) proyectos de decreto. 
2. RESOLUCIONES : Se revisaron dos (2) proyectos de actos administrativos para la firma de la alcaldesa.
3. DIRECTIVAS: Se revisaron tres  (3) Directivas. 4.ACUERDOS PARA SANCIÓN: Se tramitaron treinta  (30) proyectos de acuerdo para sanción
De los trámites revisados se expidieron los siguientes actos administrativos con firma de la Alcaldesa Mayor:
1. DECRETOS EXPEDIDIDOS:Treinta y siete  (37)
2. RESOLUCIONES: una (1) 
3. DIRECTIVAS: (0)
4. ACUERDOS SANCIONADOS: treinta (30)
En el formato 2310100-FT-316, se describe en forma detallada esta información.</t>
  </si>
  <si>
    <t>La Oficina Asesora de Planeación, para el primer trimestre de la vigencia 2023 programó el indicador “Lograr un nivel de satisfacción del 98% con calificación muy satisfecho y totalmente satisfecho, mediante la aplicación de la encuesta de satisfacción de asesorías en los espacios de acompañamiento brindados, para el fortalecimiento del desempeño de los procesos de la Entidad”. 
Teniendo en cuenta las gestiones enmarcadas en el proceso de Planeación y Mejora Continua, la Oficina Asesora de Planeación señaló adelantar asesorías encaminadas a mantener el sistema de gestión de la entidad y la formulación y ejecución de planes, programas y proyectos institucionales. Es así, como en el primer trimestre de la vigencia 2023 se logró capturar 60 encuestas de satisfacción, de las cuales el 87% fueron calificadas como totalmente satisfecho y el 11 % como muy satisfecho. Lo que indica que el nivel de satisfacción fue del 98%  
Entre los temas asesorados en el 1er. trimestre se destacan los siguientes: Formulación y seguimiento del Plan Anticorrupción y de Atención al Ciudadano 2023, formulación del POA institucional 2023, formulación de indicadores, Identificación, análisis y evaluación de riesgos, Planes de Mejoramiento, Índice de Transparencia Bogotá, Grupo Gestor de Calidad, Gestión Ambiental y formulación de planes de acción de las políticas públicas en las cuales participa la Entidad, entre otros.</t>
  </si>
  <si>
    <t>En el marco del Proceso de Planeación y Mejora Continua, la Oficina Asesora de Planeación atendió el 100% de las peticiones solicitadas, las cuales estuvieron encaminadas a mantener el sistema de gestión de la Secretaría Jurídica Distrital. Entre ellos están:
• Se preparó la información para enviar el informe de Informe de Gestión y Resultados SJD al Concejo de Bogotá. D.C.
• Se atendieron las incidencias presentadas en el aplicativo SMART.
• Se atendieron las solicitudes para actualización del normograma.
• Se remitieron los planes de acción y las fichas de productos solicitados con los que la SJD aportará a las Políticas Públicas en la vigencia 2023.
• Se reportaron las acciones de Gobierno Abierto de Bogotá que adelantará la SJD durante la vigencia 2023.
• Se reportaron a las entidades líderes de políticas públicas los avances y logros alcanzados durante la vigencia 2022.
• Se prepararon y enviaron los informes solicitados que están relacionados con la Rendición de la Cuenta Anual a la Contraloría de Bogotá D.C.</t>
  </si>
  <si>
    <t>Para la vigencia 2023 el proceso de Planeación y Mejora Continua estableció la realización de tres (3) jornadas del conocimiento. La Oficina Asesora de Planeación realizó la primera jornada del conocimiento en el mes de febrero de 2023, sobre la importancia y los riesgos del lavado de activos y financiación del terrorismo, con participación de más de 25 servidores de la SJD.
Cabe aclarar, que los desarrollos de estas jornadas facilitan la transferencia del conocimiento tácito, el fortalecimiento de las capacidades estratégicas de la Entidad y la interacción con nuestros usuarios internos y externos.</t>
  </si>
  <si>
    <t>4 Planes:
-Plan Estratégico 2020 – 2024. Actualización 2023 (día )
-Plan Anticorrupción y de atención al Ciudadano – PAAC. 2023 (día )
-Plan o Estrategia de Rendición de Cuentas 2023.  (día )
- Plan o Estrategia de Participación Ciudadana 2023
7 Reportes del 4to. trimestre de 2022:
-Políticas Pública Distritales en las cuales participó la Entidad en la vigencia 2022
5 Informes de cierre 2022:
-Informe de Gestión y Resultados, dirigido al Concejo de Bogotá. 
-Informe de Gestión y Resultados de la Estrategia de Participación Ciudadana.
-Informe de Gestión y Resultados de la Estrategia de Rendición de Cuentas
-Informe de Balance Social CBN-0021, dirigido a la Contraloría de Bogotá.
-Informe de Gerencia CBN-1045, dirigido a la Contraloría de Bogotá
En este sentido, y teniendo en cuenta la programación contemplada en el Plan de Gestión de la Oficina Asesora de Planeación, elaboró y presentó 17 documentos relacionados con planes, reportes e informes, durante el 1er. tri de la vigencia 2023. 
Cabe aclarar, que dichos documentos fueron presentados, con una oportunidad promedio de 23 días. Es decir, 5,33 días por debajo de la meta del indicador, el cual está en 28 días. Lo anterior significa que la Oficina está reportando la información 5 días antes de lo previsto.</t>
  </si>
  <si>
    <t>Se cumple con los informes de ley y seguimientos programados para el primer trimestre de 2023 en el Plan Anual de Auditoría.
En el primer trimestre de 2023, la Oficina de Control Interno realizó siete (7) informes de ley y cuatro (4) informes de seguimiento programados en el Plan Anual de Auditoría v3, con lo cual, se logró un avance del 12,73% en el cumplimiento de la meta.</t>
  </si>
  <si>
    <t xml:space="preserve">Este indicador es trimestral; sin embargo comienza en el segundo trimestre
No hay evaluaciones programadas para el primer trimestre de 2023. </t>
  </si>
  <si>
    <t>Para el primer trimestre del año 2023, se tiene un avance del 100%, en razón a que la Dirección Distrital de Asuntos Disciplinarios, una vez practicadas las pruebas y/o diligencias ordenadas por el comitente en el auto respectivo, y cumplido el término de la comisión, se evaluaron 64 expedientes correspondiendo al 95% del total de procesos, profiriendo 88 decisiones, al tenor de lo dispuesto en la Ley 1952 de 2019.</t>
  </si>
  <si>
    <t>En el primer trimestre de 2023, se profirieron un total de 120 actos administrativos con tiempo promedio de 12, 85 meses dando cumplimiento a la meta establecida</t>
  </si>
  <si>
    <t>Se expidieron 439 certificados  de IVC en un tiempo promedio 2,78 días hábiles, con lo cual se esta generando una mayor eficiencia y eficacia en el reporte de la información.</t>
  </si>
  <si>
    <t>Se resolvieron cuatro  solicitudes de recursos de reposición durante el primer trimestre en un tiempo de 2,41 meses, con lo cual se viene garantizando los principios del proceso administrativo sancionatorio</t>
  </si>
  <si>
    <t>Durante el primer trimestre de 2023 se han recibido tres (3) solicitudes de conceptos de vigencia normativa las cuales se dio respuesta definitiva en 3 y 4 días dentro de los tiempos estipulados en el decreto 474 de 2022 y la tercera se encuentra en espera de respuesta por parte de la Secretaría Distrital de Hacienda.</t>
  </si>
  <si>
    <t>1. Se proyecta Circular Conjunta No. 1 de 2023  “lineamientos para la celebración de contratos de prestación de servicios profesionales y de apoyo a la gestión para la vigencia 2023.”  https://sisjur.bogotajuridica.gov.co/sisjur/normas/Norma1.jsp?i=132757
2. Se proyecta la Directiva No.  2 de 2023 Implementación del Módulo de agenda regulatoria.
https://www.alcaldiabogota.gov.co/sisjur/normas/Norma1.jsp?i=135777
3. Se proyecta la Directiva No. 3 de 2023 -  Adopción de la Política de Compra y Contratación pública para las entidades. 
ttps://www.alcaldiabogota.gov.co/sisjur/normas/Norma1.jsp?i=136840</t>
  </si>
  <si>
    <t>El 28 de marzo se realizó la Jornada de orientación jurídica Denominada “Estatuto de Conciliación”, con la participación de la Dra Luz Elena Rodríguez Quimbayo Directora Distrital de Gestión Judicial y la Dra Estefanía Arévalo Asesora de la Agencia Nacional de Defensa Jurídica del Estado.
El 28 de marzo se realizó el taller de “Uso de Régimen legal en la Inspección Vigilancia y control de las entidades sin ánimo de Lucro”.
El 30 de marzo de 2023 se llevó a cabo una jornada de socialización sobre la Directiva 04 de 2023 - "Manual para el seguimiento y representación judicial del Distrito como víctima en el marco del ordenamiento jurídico penal colombiano".</t>
  </si>
  <si>
    <t xml:space="preserve">Durante el primer trimestre de 2023, la Dirección Distrital de Política Jurídica fue convocada a 32 instancias de coordinación o mesas de trabajo de las cuales su participación activa fue del 51.6% lo que corresponde a 17 de ellas. </t>
  </si>
  <si>
    <t>El proceso de atención a la ciudadanía contribuye en lograr el aumento de la satisfacción ciudadana a través de la gestión oportuna de las peticiones, para lo cual realiza un seguimiento a las dependencias de la Secretaría Jurídica Distrital que tienen a su cargo PQRS pendientes de emitir respuesta y que se encuentran próximas a vencerse con el fin de lograr una atención oportuna a las mismas.
Dicho seguimiento se realiza mediante la elaboración de un reporte generado a través del Sistema Distrital para la Gestión de Peticiones Ciudadanas Bogotá te Escucha, el cual es remitido semanalmente, de manera que, para el periodo comprendido entre enero, febrero y marzo de 2023, se realizaron doce (12) reportes a las dependencias de la entidad.</t>
  </si>
  <si>
    <t>En busca de mecanismos que permitan mejorar la calidad y confiabilidad de la información contable, a partir del mes de diciembre de 2020 se vienen adelantando procesos de conciliación con las diferentes dependencias que intervienen en el proceso contable. Igualmente, con el fin de mejorar el flujo de información, se emitió por parte de la Dirección de Gestión Corporativa la Circular 027 de 2022, que establece el tipo de información y los plazos para la entrega de esta al área de contabilidad.
Teniendo en cuenta las fuentes de información identificadas (tanto internas como externas), a la fecha se generon 25 conciliaciones de acuerdo a lo programado.</t>
  </si>
  <si>
    <t>Para la vigencia 2023 se apropiaron recursos por $34.619.116.000, de los cuales $26.819.740.000 corresponden a Gastos de Funcionamiento y $7.799.376.000 a Gastos de Inversión.
Durante el primer trimestre de la vigencia 2023, se logró superar la meta proyectada, con un total comprometido de $13.400.311.203 correspondiente a un 38,71%. Lo anterior como resultado de las actividades de seguimiento realizadas y la respectiva socialización a las áreas ejecutoras de los recursos, así como la fuerte labor realizada durante el trimestre, para realizar la contratación de los contratos de prestación de servicios.</t>
  </si>
  <si>
    <t>Durante el primer trimestre de la vigencia 2023, el proceso de Notificaciones dio atención oportuna a 297 actos administrativos emitidos por la Secretaría Jurídica Distrital han sido debidamente publicados, comunicados y/o notificados de acuerdo con lo establecido en cada uno de los actos cumpliendo con el 100% de la meta, garantizando la eficiencia y eficacia en la oportuna remisión de la información.</t>
  </si>
  <si>
    <t>Durante el primer trimestre de la vigencia se ejecutaron las dos (2) actividades establecidas en el cronograma de implementación de Programa de Gestión Documental, de modo que se elaboró el cronograma de actualización de los documentos asociados al proceso de Gestión Documental y se remitió al delegado de la Dirección de Gestión Corporativa y se elaboró el Plan Específico de Capacitación en Gestión Documental vigencia 2023, el cual  fue socializado a las dependencias de la Secretaría Jurídica Distrital. 
De esta manera se alcanza cumplimiento de 6,1% del cronograma de trabajo para la implementación del Programa de Gestión Documental - PGD de la vigencia 2023.</t>
  </si>
  <si>
    <t>Porcentaje de publicaciones alusivas a la actualización de la declaración de bienes y rentas y la declaración de Conflicto de Intereses en el aplicativo SIDEAP</t>
  </si>
  <si>
    <t>Teniendo en cuenta que se trata de una actualización que debe realizarse en un periodo especifico, se programó la publicación de las piezas para los meses de junio y julio, por lo que el reporte se realizará en el trimestre correspondiente.</t>
  </si>
  <si>
    <t>De acuerdo con la programación presentada por el proceso de gestión del talento humano y específicamente en el documento técnico del Plan Institucional de Capacitación se presenta durante el primer trimestre de la vigencia 2023 un cumplimiento del 71%, toda vez que se tenian programadas 14 actividades y se ejecutaron 10.</t>
  </si>
  <si>
    <t>De acuerdo con la programación presentada por el proceso de gestión del talento humano y específicamente en el documento técnico del Plan de Bienestar e Incentivos al cierre del primer trimestre se logro un 89% de cumplimiento en las actividades programadas, toda vez que se tenían programadas 27 actividades y se ejecutaron 24.</t>
  </si>
  <si>
    <t>De acuerdo con la programación de la meta y el indicador la medición de impacto se realizará en el ultimo trimestre de la vigencia.
A la fecha el proceso de Gestión de Talento Humano se encuentra adelantando los ajustes a la metodología de acuerdo con la revisión realizada.</t>
  </si>
  <si>
    <t xml:space="preserve">De los 116 contratos suscritos se han formalizado los requisitos de perfeccionamiento de 112 de ellos, con corte al 31 de marzo, con lo que se evidencia un cumplimiento del indicador de 97%, garantizando de manera adecuada y medible el cumplimiento de los principios de publicidad y transparencia. </t>
  </si>
  <si>
    <t>Dando cumplimiento a las actividades establecidas para alcanzar la meta establecida, se ha continuado con el seguimiento a la información reportada en SECOP II realizando el registro correspondiente de los lotes de pago emitidos. Es por ello por lo que se alcanza en el trimestre un avance de 100% en el cumplimiento del indicador.</t>
  </si>
  <si>
    <t>Dando cumplimiento a las tareas programadas, los profesionales de contratación han adelantado las gestiones requeridas, mesas de trabajo y propuestas para la medición del indicador durante el siguiente trimestre.</t>
  </si>
  <si>
    <t>Se estableció como instrumentos para la medición de la percepción, una encuesta para los servicios prestados tanto de suministros como de servicios generales. 
Para medir la percepción de los servicios generales se realiza a través del Sistema de Información de Administración de Servicios Generales – SASGE, una vez se preste el servicio, el usuario debe calificarlo. Igualmente, por el área de almacén se solicita a los usuarios Gestores de Inventarios, quienes solicitan los elementos de consumo, una vez se efectúe la entrega, procedan a realizar la evaluación. 
Del total de evaluaciones aplicadas a los servicios prestados tanto por entrega de suministros como la prestación de los servicios generales en el marco del proceso de Gestión Administrativa, durante el primer trimestre de la vigencia 2023, se logró un porcentaje de satisfacción del 100%; superando la meta establecida del 90%.</t>
  </si>
  <si>
    <t>No se presentaron incidentes de seguridad de la información en el periodo evaluado</t>
  </si>
  <si>
    <t>Se implementaron 10 controles de seguridad de la información en el trimestre. El porcentaje de avance del Modelo de Seguridad y Privacidad de la Información es del 95%</t>
  </si>
  <si>
    <t>Se elaboró pieza gráfica y se socializó a través de los boletines internos de comunicación y redes sociales. 
Se realizó  la revisión de respuesta al derecho de petición sobre inhabilidades dirigida al concejo de bogotá, el cual fue publicado en  https://www.alcaldiabogota.gov.co/sisjur/normas/Norma1.jsp?i=135897
Con el análisis de inhabilidades e incompatibilidades  ses contará con  una herramienta actualizada que otorgue seguridad en la toma de decisiones, tanto de quienes se encuentra investidos de las facultades específicas para las actuaciones administrativas en instancias distritales, como de los  responsables de conocer cualquier manifestación de eventual conflicto de interés o circunstancia de inhabilidad con el fin de blindar el ejercicio de la función pública y no viciar el proceder de la administración.</t>
  </si>
  <si>
    <t>Socialización del análisis jurídico Se realiza la socialización del estudio jurídico a través del canal de youtube de la Secretaría Jurídica con una asistencia promedio de 77 personas y visualizaciones a 31 de enero de 293. El cual se puede visualizar en el siguiente enlace: https://www.youtube.com/watchv=KhfNotHta3A&amp;t=3440s Se realiza la presentación general y difusión de la divulgación en el Boletín No.- 40 del MGJP publicado el 30 de enero de 2022. - Entrega definitiva del análisis jurídico. Se realiza la entrega definitiva del análisis titulado Análisis de la justicia restaurativa desde la perspectiva regulatoria. Recomendaciones para su fortalecimiento en el Distrito Capital Se realiza la diagramación de portada y elaboración de página legal y se encuentra en trámite la solicitud de ISBN ante la cámara colombiana del libro. Tercer Análisis Jurídico Vig 2022: Análisis - Régimen de inhabilidades e incompatibilidades. - Presentación de la primera entrega del análisis jurídico en la primera quincena del periodo. Se realiza la compilación normativa sobre el régimen de inhabilidades e incompatibilidades y propuesta de ficha de análisis identificando las disposiciones constitucionales y legales sobre la materia. - Ajuste documento primera entrega conforme a observaciones. - Presentación de la segunda entrega del análisis jurídico. Se realizan ajustes al documento y se presenta la segunda entrega del documento, en la que se incorpora: La conceptualización sobre inhabilidades Incompatibilidades y conflictos de intereses Doctrina y jurisprudencia relevante en la materia. Con el estudio de justicia restaurativa se analiza la evolución jurídica y jurisprudencial en la materia, así como los principales avances en países de la región tales como Brasil, Costa Rica y México, que permitieron obtener buenas prácticas para efectuar recomendaciones a nivel nacional y distrital para efectuar propuestas de fortalecimiento de la justicia restaurativa, así mismo se pretende a partir de las recomendaciones dadas a las entidades y organismos distritales encargadas de la coordinación, análisis o aplicación de estrategias jurídicas para su fortalecimiento institucional. https://www.secretariajuridica.gov.co/sites/default/files/Boletin-N40-de-2022.pdf</t>
  </si>
  <si>
    <t>No se tienen tareas programadas para el primer mes del año 2023</t>
  </si>
  <si>
    <t>No se tienen tareas programadas para el segundo mes del año 2023</t>
  </si>
  <si>
    <t>Durante el primer trimestre de 2023 la Secretaría Jurídica Distrital aprovechó un total de 302,3 kg de residuos sólidos, los cuales, en el marco del Programa Gestión Integral de Residuos Sólidos fueron entregados, a través de la Secretaría General, a la Asociación de Recicladores Puerta de Oro, para su aprovechamiento. La cantidad total generada de residuos sólidos en las 2 sedes en el período indicado es 881 kg, de los cuales un 34% fue aprovechada. Con relación al aprovechamiento en cada una de sedes, se observa que en la sede alterna Archivo Centralizado Edificio Restrepo el porcentaje de aprovechamiento del trimestre fue de 41%, mientras que en la sede Manzana Liévano fue del 33%. Es importante indicar que, para la estimación de los residuos sólidos generados por la Secretaría Jurídica Distrital en la sede Manzana Liévano se consideró, de acuerdo al Convenio Interadministrativo 1374 de 2020, el 11% del total de residuos sólidos generados registrados por la Secretaría General de la Alcaldía Mayor, es decir, que la realización de eventos, actividades y la operación propia de esa entidad influye de manera directa en la cantidad de residuos sólidos que se estiman para las dos Secretarías. NOTA: Es preciso indicar que, la información registrada en las columnas ¿cantidad total de residuos sólidos generados*¿ incluye la sumatoria de los residuos sólidos no aprovechables gestionados a través de la E.S.P empresa de servicios públicos de aseo, y los residuos sólidos aprovechables gestionados con la Asociación de Recicladores. Por el contrario, la información registrada en la columna ¿cantidad total de residuos sólidos aprovechados**¿ corresponde solamente a la cantidad de residuos entregados a la Asociación de Recicladores para aprovechamiento. A continuación, se presenta el comportamiento de indicador correspondiente al I trimestre de 2023, por cada una de las sedes y total.</t>
  </si>
  <si>
    <t>Dado que la naturaleza de este indicador es acumulada, se realiza el análisis para el primer trimestre de 2023. Con corte a 31/03/2023 la Secretaría Jurídica Distrital utilizó 204,7 kg de resmas de papel, lo cual, con relación a la meta anual de consumo de papel (1737,74,47 kg), corresponde al 11,78% es decir, que durante el período comprendido entre el 1 de marzo de 2023 y el 31 de marzo de 2023 se presentó un ahorro de papel de 88,22% de la meta anual. Dentro de la información reportada, se consumieron 89 resmas tamaño carta, con un peso aproximado de 204,7 kg, es decir el 100% del total utilizado en la vigencia. NOTA: La información analizada fue remitida por la Dirección de Gestión Corporativa mediante correo electrónico del día 11/04/2023 en la cual se indicó el consumo de resmas de papel tamaño carta correspondiente al primer trimestre de 2023.</t>
  </si>
  <si>
    <t>Consultar, seleccionar, asignar, ajustar e incorporar los diferentes documentos jurídicos de impacto y relevancia para el Distrito en el sistema de información jurídico Régimen Legal. Actualización del sistema de información jurídico denominado Abogacía General del Distrito Capital. Durante el trimestre se recibió actualización de datos referente a los abogados y contratistas de las entidades UAES y Secretaría Distrital de Cultura Recreación y Deporte, los cuales fueron incluidos en la red de abogados del Distrito. Incorporación de documentos en el sistema de información jurídico denominado Biblioteca Virtual de acuerdo a las solicitudes recibidas. Durante el trimestre se publicaron en la Biblioteca Virtual</t>
  </si>
  <si>
    <t xml:space="preserve">No se presenta reporte para el mes de abril.
Se está adelantando el proceso contractual, una vez se surta dicho proceso, se estima que las actividades en cumplimiento de esta meta inicien su ejecución a partir del mes de mayo de 2023.
</t>
  </si>
  <si>
    <t>Durante el mes de abril se desarrollaron reuniones con el operador logístico con el fin de definir aspectos ambientales a tener en cuenta durante la jornada de reconocimientos y demás eventos presenciales a desarrollar en las instalaciones de la Entidad.
Así mismo, se realizó la propuesta de fusión de las categorías A: "Asesoría jurídica" y la Categoría B: "Producción normativa de Buenas prácticas" y en el aspecto de Excelencia se propuso integrar la categoría D: "Gestión para la Participación Incidente en la Producción Normativa" como un criterio de la Categoría A: "Mejora en el Desarrollo del Modelo de Gestión Jurídica Pública –MGJP"; esto con el fin de incrementar la participación de Funcionarios y entidades distritales, poder aumentar la competencia en las categorías y complementarlas.</t>
  </si>
  <si>
    <t>Durante el periodo correspondido entre el 1 y el 30 de abril se analizó jurídica y financieramente, una base de 555 ESAL por los contratistas, de las cuales se determinó el estado de 250 de ellas, así: 
• 245 ESAL que una vez verificado el estado actual se remite requerimiento de documentos faltantes, con el fin de que se pongan al día con sus obligaciones ante este ente de IVC, lo que corresponde al 98% del total de las ESAL determinadas.
• 5 ESAL que, una vez verificado el estado actual, se encuentran al día en el reporte de la información jurídica, contable y financiera, lo que equivale a un 2% del total de las ESAL determinadas.</t>
  </si>
  <si>
    <t>Esta meta iniciará acciones para su ejecución a partir del mes de julio.</t>
  </si>
  <si>
    <t>Durante el mes de abril, se publicaron 13 proyectos de actos administrativos en la plataforma LegalBog y se  reportaron 502 observaciones. Lo cual  se traduce en que según la programación mensual, con esta cifra,  se eleva a un 558% de cumplimiento,  lo cual representa para la meta total el 178% de cumplimiento.  
Con ocasión al comportamiento de la participación ciudadana, se han remitido constantemente  a las cabezas de sector,  diferentes oficios recordando la importancia de  generar acciones de mejora que permitan un incremento significativo en los proyectos de actos administrativos que publican. No obstante,  el resultado no depende de la Dirección de Doctrina y Asuntos Normativos por no ser una gestión Directa. 
En términos del incremento del 30% de la participación ciudadana, con el avance del mes de abril, teniendo en cuenta la programación de la Meta, el indicador refleja un 53,4% de incremento.</t>
  </si>
  <si>
    <t>De las 502 observaciones que se reportan para este mes se identificaron 116  incidencias positivas de los comentarios realizados por la ciudadanía lo que permite concluir que el 23%  de las observaciones fueron tenidas en cuenta para el mejoramiento de la gestión normativa distrital.
Ahora bien, de los proyectos de actos administrativos que fueron objeto de publicación se expidió 1 decreto en el mes de abril de 2023.</t>
  </si>
  <si>
    <t xml:space="preserve">En el mes de abril se desarrollaron las siguientes acciones:
• Se realizó 1 reunión con los usuarios para socializar el ajuste realizado en el menú del sistema para SIPROJ, incluido en la APP; se hizo ajuste a la base de datos de régimen legal y se adicionaron las tablas las cuales contendrán los datos de comentarios realizados en la opción de LegalBog Participa. 
En el módulo de Legalbog desarrollado en la App, se ajustó el acceso a los datos con el fin de agilizar la búsqueda de los actos administrativos y demás documentos jurídicos de interés para la ciudadanía; y se organizó el proyecto con fin de optimizar los archivos que se utilizan en las publicaciones en las diferentes tiendas tanto Apple Store como google Play Store.
• Por último, en el módulo de Régimen Legal desarrollado en la App, se ajustaron los múltiples filtros y se tiene en el ambiente de pruebas, se puede visualizar la información requerida de manera rápida y organizada de la Entidad.
</t>
  </si>
  <si>
    <t>En el mes de abril, se realizaron 4 soportes de temas de calidad de datos en la Agenda Regulatoria, expedición de certificados de Actos Administrativos y creación de usuarios, los cuales se atendieron y se solucionaron de manera eficaz y eficiente logrando un óptimo uso del sistema de información.
Así mismo, durante el mes de abril con la Fábrica de Software y las áreas funcionales de la Entidad, se continuaron las pruebas del módulo de Doctrina e iniciaron los ajustes de Abogacía del módulo de Política.</t>
  </si>
  <si>
    <t>En el mes de abril de 2023, se realizaron actividades para el mantenimiento de los servidores Windows, plataforma de servidores, administración de las bases de datos, sistema de nómina, sitio web de la entidad, aplicativo de contabilidad, aplicativo de gestión documental, aplicativo de bienes físicos y funcionalidades de LegalBog.</t>
  </si>
  <si>
    <t>En el mes de abril de 2023 se realizó el bloqueo de más de 100 direcciones IP en el firewall de la Secretaría; y se presentó el autodiagnóstico de cumplimiento del Modelo de Seguridad y Privacidad de la Información en la Secretaría Jurídica Distrital presentando un porcentaje de avance del 96%.
Así mismo, se realizó análisis de vulnerabilidades a 4 páginas web de los sistemas misionales; y se recopilaron y se remitieron las evidencias del cumplimiento de la implementación de los controles para mitigar los riesgos de seguridad de la información, seguridad digital, ciberseguridad y datos personales que sirvieron para cumplir con el primer seguimiento de la gestión de riesgos que se efectuó en el mes de abril.</t>
  </si>
  <si>
    <r>
      <t xml:space="preserve">En el mes de abril de 2023, se realizó la actualización del Looker Studio de la primera línea de investigación del componente de contratación denominada </t>
    </r>
    <r>
      <rPr>
        <i/>
        <sz val="10"/>
        <color theme="1"/>
        <rFont val="Roboto"/>
      </rPr>
      <t>“Incidencias de los hallazgos en la gestión contractual del Distrito Capital</t>
    </r>
    <r>
      <rPr>
        <sz val="10"/>
        <color theme="1"/>
        <rFont val="Roboto"/>
      </rPr>
      <t xml:space="preserve">” que corresponde a la inclusión de los informes de regularidad PAD 2022, período fiscal 2021, del total de las entidades revisadas en 2022, el cual puede ser consultado en el siguiente enlace: 
https://www.secretariajuridica.gov.co/hallazgos-en-materia-de-contratacion-publica
El 28 de abril se inició el diseño del indicador de la línea de investigación del componente anticorrupción vigencia 2023; y se solicitó la publicación de las infografías en el componente de contratación sobre cláusulas excepcionales y del componente anticorrupción sobre el delito de contrato sin cumplimiento de requisitos legales.
Por último, se socializó en el equipo ODCLA el documento de profundización “Incidencias de los hallazgos en la gestión contractual de los fondos locales del Distrito Capital” de la primera línea de investigación del componente de contratación 2022. </t>
    </r>
  </si>
  <si>
    <r>
      <t>Con respecto al estudio de análisis jurídico programado para la actual vigencia, relacionado con el "</t>
    </r>
    <r>
      <rPr>
        <i/>
        <sz val="10"/>
        <color theme="1"/>
        <rFont val="Roboto"/>
      </rPr>
      <t>Uso de mecanismos alternativos de resolución de conflictos</t>
    </r>
    <r>
      <rPr>
        <sz val="10"/>
        <color theme="1"/>
        <rFont val="Roboto"/>
      </rPr>
      <t xml:space="preserve">", este se tiene previsto para entregarse en el mes de junio. Sin embargo, en el mes de abril, se elaboró la presentación del plan de trabajo, se recopiló la bibliografía temática y documento de relatoría; y se entregó el primer borrador.
Por otra parte, se construye el documento de relatoría 18 de 2023 con el que se pretende contar con el compilado de la normatividad, jurisprudencia y doctrina más sobre MASC, el cual puede ser consultado en el Sistema de Información Régimen Legal en el siguiente enlace:
https://sisjur.bogotajuridica.gov.co/sisjur/normas/Norma1.jsp?i=139798
Con la elaboración del estudio se pretende establecer la conveniencia de la incorporación de los mecanismos alternativos de resolución de conflictos para la eficiencia de la gestión contractual y administrativa, le permitirá al D.C. avanzar en un modelo preventivo en materia judicial, disponer de un estudio que identifique la normatividad, las ventajas y los lineamientos para la construcción de un modelo preventivo, le permitirá al Distrito Capital, avanzar en la política de defensa jurídica y en el impacto de la defensa de los intereses del distrito capital, la protección del patrimonio público y el ahorro de los recursos públicos; y su aplicación podrá reducir la oportunidad de presentación de demandas de carácter patrimonial y en consecuencia se minimizaran los costos y desgaste administrativo del distrito.
</t>
    </r>
  </si>
  <si>
    <r>
      <t>Durante el periodo del reporte, desde la Dirección de Polítca Jurídica se realizaron entre otras las siguientes actividades: 
Se solicitó a las entidades distritales la inscripción al piloto de depuración normativa, contando al 30 de abril, con la respuesta de 8 entidades distritales. Se asistió el 18 y 19 de abril de 2023 al Taller Presencial sobre el Análisis de Impacto Normativo – AIN en la Cámara de Comercio de Bogotá; y se elaboró la Guía para la elaboración de decretos únicos sectoriales, la cual se encuentra en revisión.
Así mismo, se remitieron por correo electrónico los insumos a la profesional que va a reportar la Política Pública de Productividad, correspondiente al producto 4.3.3 conforme al indicador “</t>
    </r>
    <r>
      <rPr>
        <i/>
        <sz val="10"/>
        <color theme="1"/>
        <rFont val="Roboto"/>
      </rPr>
      <t>Agenda de mejora regulatoria y del clima de negocios de Bogotá D.C.</t>
    </r>
    <r>
      <rPr>
        <sz val="10"/>
        <color theme="1"/>
        <rFont val="Roboto"/>
      </rPr>
      <t>”; y se elaboró un artículo sobre el Taller Presencial Análisis de Impacto Normativo - AIN para el Boletín del Modelo de Gestión Jurídica, el artículo se encuentra publicado en la página 9 de dicho boletín.
https://www.secretariajuridica.gov.co/sites/default/files/Boletin-N43-de-2023-.pdf</t>
    </r>
  </si>
  <si>
    <r>
      <t xml:space="preserve">Con las actividades realizadas por la Dirección Distrital de Gestión Judicial, para el período comprendido entre el 01-01-2020 hasta el 30-04-2023 se obtuvo un Éxito Procesal Cuantitativo del </t>
    </r>
    <r>
      <rPr>
        <b/>
        <sz val="10"/>
        <color theme="1"/>
        <rFont val="Roboto"/>
      </rPr>
      <t>88,19%</t>
    </r>
    <r>
      <rPr>
        <sz val="10"/>
        <color theme="1"/>
        <rFont val="Roboto"/>
      </rPr>
      <t xml:space="preserve">, que corresponde a la proporción entre, los 61.052 procesos terminados que fueron fallados a favor del Distrito Capital y el total de procesos terminados durante el período de reporte (a favor y en contra), equivalentes a 69.230 procesos. 
De esta manera, durante el periodo objeto de reporte, se superó la meta propuesta representada en la cantidad de procesos terminados favorablemente para el Distrito Capital, considerando que la línea base corresponde a un 83%. 
La variación del resultado del éxito procesal cuantitativo de Bogotá D.C. respecto al mes de marzo 2023 equivale al -0.02%; este comportamiento obedece a que en este periodo, la variación en la cantidad de procesos fallados a favor fue inferior a la de los fallados en contra. </t>
    </r>
  </si>
  <si>
    <r>
      <t xml:space="preserve">El 20 de abril de 2023, se realizó una jornada de orientación de actualización para las ESAL en el programa de transparencia y ética empresarial – P.T.E.E., la cual obtuvo una participación de </t>
    </r>
    <r>
      <rPr>
        <b/>
        <sz val="10"/>
        <color theme="1"/>
        <rFont val="Roboto"/>
      </rPr>
      <t>504</t>
    </r>
    <r>
      <rPr>
        <sz val="10"/>
        <color theme="1"/>
        <rFont val="Roboto"/>
      </rPr>
      <t xml:space="preserve"> ciudadanos orientados, 341 de manera presencial y 163 de forma virtual.
Se puede acceder a la grabación a través del enlace: https://www.youtube.com/watch?v=kDR4NrZhYvo </t>
    </r>
  </si>
  <si>
    <r>
      <t>En el mes de abril se llevaron a cabo dos orientaciones en las que se trataron los temas: “</t>
    </r>
    <r>
      <rPr>
        <i/>
        <sz val="10"/>
        <color theme="1"/>
        <rFont val="Roboto"/>
      </rPr>
      <t>Derecho procesal disciplinario: aspectos problemáticos y el debido proceso</t>
    </r>
    <r>
      <rPr>
        <sz val="10"/>
        <color theme="1"/>
        <rFont val="Roboto"/>
      </rPr>
      <t>" y "</t>
    </r>
    <r>
      <rPr>
        <i/>
        <sz val="10"/>
        <color theme="1"/>
        <rFont val="Roboto"/>
      </rPr>
      <t>Técnicas probatorias en el derecho disciplinario</t>
    </r>
    <r>
      <rPr>
        <sz val="10"/>
        <color theme="1"/>
        <rFont val="Roboto"/>
      </rPr>
      <t>”, orientaciones en las que se asistieron 196 servidores y colaboradores distritales.
De igual forma se realizaron dos talleres presenciales, en los que se trató el tema: “</t>
    </r>
    <r>
      <rPr>
        <i/>
        <sz val="10"/>
        <color theme="1"/>
        <rFont val="Roboto"/>
      </rPr>
      <t>Formulación del pliego de cargos en el CGD: Elementos jurídicos y técnicos</t>
    </r>
    <r>
      <rPr>
        <sz val="10"/>
        <color theme="1"/>
        <rFont val="Roboto"/>
      </rPr>
      <t xml:space="preserve">”. Estos talleres fueron divididos en dos grupos, el primero se realizó en la modalidad de convocatoria, ofreciendo 48 cupos a los primeros inscritos en el respectivo link de inscripción divulgado a través del correo electrónico institucional de la DDAD; y el segundo, se realizó haciendo invitaciones directamente a los servidores y colaboradores distritales de la Secretaría Distrital de Educación y abogados de la Dirección Distrital de Asuntos Disciplinarios de la Secretaría Jurídica Distrital, al que asistieron 45 servidores y colaboradores distritales.
</t>
    </r>
  </si>
  <si>
    <r>
      <rPr>
        <b/>
        <sz val="10"/>
        <color theme="1"/>
        <rFont val="Roboto"/>
      </rPr>
      <t>MIPG:</t>
    </r>
    <r>
      <rPr>
        <sz val="10"/>
        <color theme="1"/>
        <rFont val="Roboto"/>
      </rPr>
      <t xml:space="preserve"> Desde la Oficina Asesora de Planeación se realizó el análisis inicial de los autodiagnósticos a corte 30 de abril del 2023 y se realizó seguimiento y acompañamiento al plan de sostenibilidad MIPG. Las oficinas que contaron con acompañamiento y seguimiento fueron: Dirección distrital de Gestión Judicial, Dirección distrital de Política Jurídica, Oficina de Tecnologías de la Información y las Comunicaciones, Inspección, vigilancia y control, Dirección de Gestión Corporativa y la Oficina de control interno
</t>
    </r>
    <r>
      <rPr>
        <b/>
        <sz val="10"/>
        <color theme="1"/>
        <rFont val="Roboto"/>
      </rPr>
      <t>Módulo MIPG – SMART:</t>
    </r>
    <r>
      <rPr>
        <sz val="10"/>
        <color theme="1"/>
        <rFont val="Roboto"/>
      </rPr>
      <t xml:space="preserve"> Se actualizó el módulo MIPG en el Smart con base en los autodiagnósticos y los planes de sostenibilidad MIPG. Además se realizaron diferentes reuniones con el proveedor de servicios ITS con el fin permitir un adecuado funcionamiento del mismo. El día 26 de abril se socializó el estado actual de las políticas MIPG, cómo estamos preparados para el FURAG 2022 y cuáles son los puntos débiles que trae consigo esta medición. 
</t>
    </r>
    <r>
      <rPr>
        <b/>
        <sz val="10"/>
        <color theme="1"/>
        <rFont val="Roboto"/>
      </rPr>
      <t>Indicadores:</t>
    </r>
    <r>
      <rPr>
        <sz val="10"/>
        <color theme="1"/>
        <rFont val="Roboto"/>
      </rPr>
      <t xml:space="preserve"> Se actualizó el módulo de indicadores con los datos correspondientes al mes de marzo de la presente vigencia, así mismo, se verificó la información de los indicadores de dicho mes con respecto al Plan Operativo Anual de Inversión y el Plan Operativo Anual de la vigencia y se realizaron los ajustes respectivos en el SMART. Por último se actualizó la información del tablero de indicadores del mes de marzo y se solicitaron los ajustes al POA para finalizar la construcción del tablero.
</t>
    </r>
    <r>
      <rPr>
        <b/>
        <sz val="10"/>
        <color theme="1"/>
        <rFont val="Roboto"/>
      </rPr>
      <t xml:space="preserve">Plan de comunicaciones: </t>
    </r>
    <r>
      <rPr>
        <sz val="10"/>
        <color theme="1"/>
        <rFont val="Roboto"/>
      </rPr>
      <t xml:space="preserve">En el mes de abril desde la Oficina Asesora de Planeación se realizó la divulgación de LegalBog App a las instituciones universitarias mediante correo de recordación y 2 piezas comunicacionales. Se realizó el informe de recepción de LegalBog App y se actualizo base de datos de las instituciones. Además, se realizó reunión con la Oficina de las Tecnologías de la Información y las Comunicaciones sobre la elaboración de 21 piezas comunicacionales para resaltar la gestión de dicha Oficina. A continuación se presentan las piezas desarrolladas:
• Política de Gobierno Digital 
• Cursos dispuestos por el Ministerio de Tecnologías de la Información y las Comunicaciones.
• Gobernanza. 
• Innovación Pública Digital. 
• Arquitectura de TI. 
</t>
    </r>
    <r>
      <rPr>
        <b/>
        <sz val="10"/>
        <color theme="1"/>
        <rFont val="Roboto"/>
      </rPr>
      <t>Gestión Ambiental:</t>
    </r>
    <r>
      <rPr>
        <sz val="10"/>
        <color theme="1"/>
        <rFont val="Roboto"/>
      </rPr>
      <t xml:space="preserve"> Al 30 de abril de 2023 el avance en la implementación del Plan de Acción PIGA 2023 es de 35,61%. El avance de los programas PIGA a la fecha es: ahorro y uso eficiente del agua (37,5%), ahorro y uso eficiente de la energía (33,3%), gestión integral de residuos sólidos: (30,4%), consumo sostenible (53,8%), implementación de prácticas sostenibles (30%). Con corte a 31/04/2023 el Sistema de Gestión Ambiental cuenta con un porcentaje de implementación del Plan de Acción Interno para el manejo y aprovechamiento de residuos sólidos –PAI de 28,57%. En el marco del Programa de Consumo Sostenible se realizó la revisión de los estudios previos para la inclusión de los criterios y cláusulas ambientales de los procesos contractuales de a) suministro de combustible (05/04/2023), b) dotaciones (10/04/2023). Además, se asistió a reunión para la verificación de los procedimientos de mantenimiento convocada por la Dirección de Gestión Corporativa el día 17/04/2023. El día 18/04/2023 se participó en reunión para la definir la realización de la salida ecológica al Parque Nacional Natural Chingaza -PNN prevista para ser realizada en el marco de la semana ambiental 2023.</t>
    </r>
  </si>
  <si>
    <r>
      <rPr>
        <b/>
        <sz val="10"/>
        <color theme="1"/>
        <rFont val="Roboto"/>
      </rPr>
      <t xml:space="preserve">Informe de gestión y resultados y seguimiento a plan de acción: </t>
    </r>
    <r>
      <rPr>
        <sz val="10"/>
        <color theme="1"/>
        <rFont val="Roboto"/>
      </rPr>
      <t xml:space="preserve">En cumplimiento a la meta 2 – “Integrar cuatro 4 herramientas y/o metodologías de gestión que incrementen la satisfacción de los usuarios y partes interesadas”, en el mes de abril de 2023, se trabajó en la revisión de los reportes de las dependencias respecto al avance en las metas del plan de desarrollo y del plan de gestión, realizando el acompañamiento respectivo desde la Oficina Asesora de Planeación para orientar la elaboración y presentación de información. A partir de lo anterior, se elaboró y publicó el Informe de Gestión y Resultados correspondiente al primer trimestre de 2023 en el boletín interno de comunicaciones y en la página web de la Entidad, al cual se puede acceder a través del enlace: https://www.secretariajuridica.gov.co/4-planeacion-presupuesto-e-informes?field_fecha_de_emision_document_value=10&amp;field_4_planeacion_presupuesto_e_target_id=107.
</t>
    </r>
    <r>
      <rPr>
        <b/>
        <sz val="10"/>
        <color theme="1"/>
        <rFont val="Roboto"/>
      </rPr>
      <t xml:space="preserve">Transparencia: </t>
    </r>
    <r>
      <rPr>
        <sz val="10"/>
        <color theme="1"/>
        <rFont val="Roboto"/>
      </rPr>
      <t xml:space="preserve">Desde la Oficina Asesora de Planeación se participó en las últimas 2 mesas de trabajo de la Secretaría general (Atención al Ciudadano, Gestión de Trámites, Talento Humano, Planeación, Presupuesto y Contratación) en torno a solucionar dudas e inquietudes de las distintas temáticas del ITB. Se revisaron al detalle y se complementaron una a una las evidencias ITB para asegurar total cumplimiento a cada una de las preguntas formuladas, soportes que reposan en carpetas por cada interrogante y a su vez se enumeraron cada una de las evidencias que daban respuesta a las mismas. Se realizaron preguntas de ITB a través de correo a interlocutor designado para la SJD y se revisaron y ajustaron cuadros textos y evidencias de acuerdo con los cambios realizados en último momento en variedad de preguntas por parte de transparencia por Colombia recibidos el 14 de abril y 25 de abril. Por último, la Oficina Asesora de Planeación procedió a diligenciar formulario en línea del ITB 2022-2023 y cargar soportes dando cumplimiento y cierre el viernes 28 de abril por parte de la Secretaría Jurídica Distrital.
Sistema de Gestión de Calidad: Durante el mes de Abril se realizó aprobación de algunas solicitudes de eliminación, creación y actualización de la documentación necesaria para el Sistema Integrado de Gestión, en total se gestionaron 15 solicitudes, tres (3) de eliminación, tres (3) nuevas solicitudes las cuales se les dio aprobación y las restantes de para continuar con el flujo de revisión hasta la publicación. Además se realizó mesa de trabajo con el proceso de Evaluación independiente en miras de validar y revisar la información documental.
</t>
    </r>
    <r>
      <rPr>
        <b/>
        <sz val="10"/>
        <color theme="1"/>
        <rFont val="Roboto"/>
      </rPr>
      <t xml:space="preserve">Planes de mejoramiento: </t>
    </r>
    <r>
      <rPr>
        <sz val="10"/>
        <color theme="1"/>
        <rFont val="Roboto"/>
      </rPr>
      <t xml:space="preserve">Se elaboró y publicó en el boletín interno y página web el informe ejecutivo de planes de mejoramiento mensual del mes de abril, en el cual se dio a conocer mediante gráficos el estado actual de planes registrados hasta la fecha en el aplicativo SMART. Así mismo, se realizó la revisión y aprobación del avance de los planes 720, 739, 749, 758, 759, 783, 777, 730, 768, 771, 780, 743, 762, 764, 776, 778, 785, 786, 744, 752, 792 en el aplicativo SMART. Se proyectó respuesta con radicado No. 3-2023-3801_1 respecto a avances de plan de mejoramiento de la OAP producto de auditoría de contraloría de Bogotá 2022.
</t>
    </r>
    <r>
      <rPr>
        <b/>
        <sz val="10"/>
        <color theme="1"/>
        <rFont val="Roboto"/>
      </rPr>
      <t>Gestión del Riesgo:</t>
    </r>
    <r>
      <rPr>
        <sz val="10"/>
        <color theme="1"/>
        <rFont val="Roboto"/>
      </rPr>
      <t xml:space="preserve"> La Oficina Asesora de Planeación participó en sensibilización sobre el sistema SARLAFT efectuada por la Secretaría General de la Alcaldía Mayor de Bogotá D.C. Así mismo, realizó solicitud de elaboración de pieza comunicacional o infografía sobre las temáticas de lavado de activos – LA y financiación del terrorismo – FT. Se proyectó memorando de solicitud para efectuar el primer monitoreo a los riesgos de gestión y de corrupción, así como a los planes de acción a todos los procesos de la Entidad y se realizó revisión, retroalimentación y aprobación del monitoreo de los riesgos de gestión y de corrupción a los 17 procesos, a través del sistema Smart. Además se realizó la consolidación de los mapas de riesgos de gestión y de corrupción con el primer monitoreo y se solicitud publicación en la página web de la Entidad, ver documentos publicados en el siguiente link: https://www.secretariajuridica.gov.co/4-planeacion-presupuesto-e-informes?field_fecha_de_emision_document_value=10&amp;field_4_planeacion_presupuesto_e_target_id=145</t>
    </r>
  </si>
  <si>
    <r>
      <t xml:space="preserve">Para la meta número 3 del proyecto de inversión, se programó un total de 2 instrumentos de apropiación para los temas estratégicos y desafíos institucionales por parte de los servidores. Los instrumentos son: Plan Anticorrupción y de Atención al Ciudadano 2023 y la Estrategia de Apropiación del Sistema de Gestión de Calidad (Grupo Gestor, Ruta de la Calidad, caracterización de usuarios y preparación de auditoría) los cuales fueron ejecutados durante el mes de abril.
</t>
    </r>
    <r>
      <rPr>
        <b/>
        <sz val="10"/>
        <color theme="1"/>
        <rFont val="Roboto"/>
      </rPr>
      <t xml:space="preserve">Plan Anticorrupción y de Atención al Ciudadano: </t>
    </r>
    <r>
      <rPr>
        <sz val="10"/>
        <color theme="1"/>
        <rFont val="Roboto"/>
      </rPr>
      <t xml:space="preserve">Durante el mes de abril se realizó seguimiento de las actividades programadas para la Oficina Asesora de Planeación para el mes de abril de 2023. Además se solicitó la elaboración y divulgación de piezas comunicacionales para dar a conocer a los servidores y colaboradores los canales de atención para presentar denuncias por posibles actos de corrupción, contravenciones o faltas disciplinarias en caso de tener conocimiento. Se proyectó memorando de solicitud a todas las áreas de la entidad, para que presenten el primer seguimiento del PAAC y del Plan de Participación Ciudadana y se diligenció la matriz del primer seguimiento del PAAC, en los componentes de Gestión de Riesgos, Transparencia y Cumplimiento Normativo. Por último se inició la revisión, retroalimentación y consolidación del primer seguimiento del PAAC, con relación a la información que aportan las dependencias de la Entidad y se revisó tercer informe de dinamización de trámites presentado por la Secretaría General de la Alcaldía Mayor de Bogotá y se proyectó respuesta.
</t>
    </r>
    <r>
      <rPr>
        <b/>
        <sz val="10"/>
        <color theme="1"/>
        <rFont val="Roboto"/>
      </rPr>
      <t>Ley de Transparencia y Acceso a la Información:</t>
    </r>
    <r>
      <rPr>
        <sz val="10"/>
        <color theme="1"/>
        <rFont val="Roboto"/>
      </rPr>
      <t xml:space="preserve"> Desde la Oficina Asesora de Planeación, se solicitó la publicación de diferentes documentos en la página web a la Oficina de Tecnologías de la Información y las Comunicaciones - TIC, igualmente se hizo seguimiento. Se atendió solicitud de la Oficina de Tecnologías de la Información y las Comunicaciones – TIC, respecto a la actualización del Esquema de Publicación de la Oficina Asesora de Planeación. Además, se participó en sensibilización sobre apertura de agendas desarrollada por la Secretaría General, así mismo se envió la invitación de la sensibilización a los gestores de agenda en cada una de las dependencias para que también participaran.   Se proyectó solicitud de capacitación sobre transparencia y ética pública a la Secretaría de la Transparencia. Por último, se efectuó solicitud para elaboración de pieza comunicacional para invitar a los servidores y colaboradores de la Entidad a capacitación sobre “Corrupción Ley 1474 de 2011 y Programas de Transparencia y Ética en el Sector Público”, que desarrollará la Secretaría de Transparencia.
</t>
    </r>
    <r>
      <rPr>
        <b/>
        <sz val="10"/>
        <color theme="1"/>
        <rFont val="Roboto"/>
      </rPr>
      <t xml:space="preserve">Estrategia de Apropiación del Sistema de Gestión de Calidad: </t>
    </r>
    <r>
      <rPr>
        <sz val="10"/>
        <color theme="1"/>
        <rFont val="Roboto"/>
      </rPr>
      <t>Para el mes de abril, la Oficina Asesora de Planeación preparó y lideró el grupo gestor de calidad, realizado el miércoles 26 de abril en donde se trataron los siguientes temas: Sistema de Gestión Ambiental en donde se presentó la política de gestión ambiental además del cronograma y proceso de auditoría del sistema. Además, se socializó el procedimiento de gestión del conocimiento y la innovación así como los formatos de inventario de conocimiento tácito y explícito, se extendió la invitación al grupo gestor de participar en el grupo de gestión del conocimiento y la innovación de la Entidad. Por último, se realizó la presentación de los ajustes solicitados al proveedor del SMART frente al módulo del Modelo Integrado de Planeación y Gestión MIPG y las brechas en cuanto al FURAG 2021 vs 2022.</t>
    </r>
  </si>
  <si>
    <t>El 8 de mayo se dió inicio al contrato 133-2023  suscrito con la Universidad Nacional Abierta y a Distancia, cuyo objeto es “Prestar los servicios para la realización de un diplomado que proporcione herramientas para la implementación del Modelo de Gestión Jurídica Anticorrupción y la formulación del plan de cumplimiento normativo”; con el cual se realizó la presentación y concertación del plan del plan de trabajo y del cronograma de actividades. 
El plan de trabajo incorpora las fechas de diseño del curso, el lanzamiento, la ejecución del proyecto y la culminación,  se tiene en cuenta la creación del Objeto Virtual de Aprendizaje, los talleres presenciales y las actividades de entrega y certificación.</t>
  </si>
  <si>
    <t>En el marco de la línea de de investigación "Conductas Penales en el marco de la lucha contra la corrupción administrativa en el Distrito Capital", se  elaboró y se publicó un video en el Micrositio ODCLA sobre "contrato sin cumplimiento de requisitos legales", con el cual se pretende aportar a los organismos y entidades distritales buenas prácticas e identificación de conductas que generan corrupción administrativa, con el propósito de que dichas entidades tomen decisiones adecuadas en su gestión contractual y acciones para la prevención del daño antijurídico y la lucha anticorrupción.
Link de acceso:
https://www.secretariajuridica.gov.co/odcla
Finalmente, se realizó reunión de avances de la línea de investigación “conductas penales y disciplinarias en el marco de la lucha contra la corrupción administrativa en Bogotá” y "naturaleza jurídica y régimen de contratación de las entidades exceptuadas del Estatuto General de Contratación de la Administración Pública", en la cual, se concertaron las observaciones y se procederá a publicar en el mes de junio los documentos y herramientas derivadas de las líneas.</t>
  </si>
  <si>
    <t>Se realizó la segunda entrega del análisis jurídico denominado "Mecanismos alternativos de solución de conflictos: estudio para una eficaz implementación en la gestión administrativa, contractual y jurídica en el distrito capital". diponible en https://drive.google.com/drive/u/0/folders/1brVL1dR76CwZxqcBfYwNxIBmHfpSgAZ6
En esta versión del análisis, se incorpora lo relacionados con  los convenios interadministrativos y los mecanismos para prevenir la litigiosidad, se analiza la mediación de controversias y los mecanismos adoptados por la Ley 2220. Igualmente se realiza una aproximación de las cláusulas compromisorias, sus ventajas, inconvenientes y se propone una redacción de la cláusula compromisoria y del pacto. Finalmente, se establecen recomendaciones y se abordan algunas de las conclusiones.
En el mes de junio se realizará la entrega definitiva del documento al Director Distrital de Política Jurídica, y/o Subsecretario y/o Secretario Jurídico Distrital.</t>
  </si>
  <si>
    <t xml:space="preserve">En el marco de la política de racionalización de trámites se invitó a la Subsecretaría de Servicio a la Ciudadanía de la Secretaría General de la Alcaldía Mayor de Bogotá a realizar una reunión presencial el martes 6 de junio del 2023 a las 10am para articular la jornada de la Política de racionalización de trámites.
El 12 de mayo de 2023 se propusieron las preguntas de medición de los componentes del MGJP frente a la Política de Gobernanza Regulatoria.
Se apoyó a entidades como la Secretaría de Hacienda y la Secretaría Distrital de Movilidad en la actualización de la agenda regulatoria definitiva en el módulo Agenda Regulatoria del Aplicativo Legal Bog.
En el marco de Cumplimiento de la política de mejora normativa se asistió al seguimiento de incorporación de enfoques en las Políticas de MIPG, con la participación de la Secretaría distrital de la mujer y la Secretaría Distrital de planeación entre otras. </t>
  </si>
  <si>
    <t>En el mes de mayo de 2023 no hubo avances en la ejecución de la meta. Estas actividades se retomarán a partir del mes de junio con actividades de expectativa y difusión de las bases para la participación en los reconocimientos.
Teniendo en cuenta que las actividades programadas con el operador logístico durante el mes de mayo se enfocaron en las jornadas de orientación jurídica como “Gestión Jurídica Pública – Defensa del Distrito Capital y su patrimonio” e “inteligencia Artificial y Administración de justicia: Aplicación, perspectiva y retos para el futuro” ambas jornadas en coordinación con el Consejo de Estado,  por lo cual se dio prioridad a la programación, planeación y desarrollo de dichos eventos y se realizó  ajuste de las actividades del plan de trabajo hasta el mes de diciembre; por lo anterior no se reporta avance porcentual durante el mes de mayo.</t>
  </si>
  <si>
    <t xml:space="preserve">Con las actividades realizadas por la Dirección Distrital de Gestión Judicial, para el período comprendido entre el 01-01-2020 hasta el 31-05-2023 se obtuvo un Éxito Procesal Cuantitativo del 88,15%, que corresponde a la proporción entre, los 63.309 procesos terminados que fueron fallados a favor del Distrito Capital y el total de procesos terminados durante el período de reporte (a favor y en contra), equivalentes a 71.821 procesos. 
De esta manera, durante el periodo objeto de reporte, se superó la meta propuesta representada en la cantidad de procesos terminados favorablemente para el Distrito Capital, considerando que la línea base corresponde a un 83%. 
La variación del resultado del éxito procesal cuantitativo de Bogotá D.C. respecto al mes de abril 2023 equivale al -0.04%; este comportamiento obedece a que en este periodo, la variación en la cantidad de procesos fallados a favor fue inferior a la de los fallados en contra.  </t>
  </si>
  <si>
    <t>Durante el periodo correspondido entre el 1 y el 31 de mayo se analizó jurídica y financieramente, una base de 690 ESAL por los contratistas, de las cuales se determinó el estado de 320 de ellas, así: 
• 299 ESAL que una vez verificado el estado actual se remite requerimiento de documentos faltantes, con el fin de que se pongan al día con sus obligaciones ante este ente de IVC, lo que corresponde al 93% del total de las ESAL determinadas.
• 21 ESAL que, una vez verificado el estado actual, se encuentran al día en el reporte de la información jurídica, contable y financiera, lo que equivale a un 7% del total de las ESAL determinadas.</t>
  </si>
  <si>
    <t xml:space="preserve">Durante el periodo correspondido entre el 1 y el 31 de mayo de 2023, no se adelantaron orientaciones a ciudadanos en derechos y obligaciones de las entidades sin ánimo de lucro </t>
  </si>
  <si>
    <t>En el mes de mayo de 2023 no se adelantó ninguna actividad relacionada con la meta de “formular 1 directiva anual encaminada a la prevención de faltas disciplinarias”, toda vez que, de acuerdo con el plan de trabajo propuesto, en el mes de julio de 2023, se dará inicio a las acciones correspondientes para el cumplimiento de esta meta. 
N/A dado que no se realizaron actividades en cumplimiento de la meta, en el mes de mayo 2023.</t>
  </si>
  <si>
    <t xml:space="preserve">De acuerdo con el plan de trabajo propuesto para la vigencia 2023 para la meta de “orientar a 2.000 servidores públicos distritales en materia de prevención de la falta disciplinaria”, en el mes de mayo se llevaron a cabo dos orientaciones en las que se trataron los temas: “Ley de garantías electorales y Participación indebida en Política. y Política antisoborno, régimen sancionatorio y disciplinario” orientaciones en las que se asistieron 271 servidores y colaboradores distritales.
De igual forma se realizó un taller presencial, en el que se trató el tema: “Juzgamiento disciplinario: Variación del pliego, el fallo y las exigencias jurídicas para proferir sanción disciplinaria”. Este taller se realizó en las Aulas Barule, ubicadas en el edificio Bicentenario de la alcaldía mayor de Bogotá y contó con la presencia de 26 asistentes, lo anterior nos deja un total de 297 servidores y colaboradores distritales orientados en el mes de mayo.
</t>
  </si>
  <si>
    <t>Durante el mes de mayo, se publicaron 18 proyectos de actos administrativos en la plataforma LegalBog y se  reportaron 29 observaciones. Lo cual  se traduce en que según la programación mensual, con esta cifra,  se eleva a un 32% de cumplimiento, lo cual representa para la meta total el 181% de cumplimiento.  
Con ocasión al comportamiento de la participación ciudadana, se han remitido constantemente  a las cabezas de sector,  diferentes oficios recordando la importancia de  generar acciones de mejora que permitan un incremento significativo en los proyectos de actos administrativos que publican. No obstante,  el resultado no depende de la Dirección de Doctrina y Asuntos Normativos por no ser una gestión Directa. 
En términos del incremento del 30% de la participación ciudadana, con el avance del mes de abril, teniendo en cuenta la programación de la Meta, el indicador refleja un 54,3% de incremento.</t>
  </si>
  <si>
    <t>De las 29 observaciones que se reportan para este mes se identificaron 11  incidencias positivas de los comentarios realizados por la ciudadanía lo que permite concluir que el 38% de las observaciones fueron tenidas en cuenta para el mejoramiento de la gestión normativa distrital.
Ahora bien, de los proyectos de actos administrativos que fueron objeto de publicación se expidieron 7 decretos en el mes de mayo de 2023.</t>
  </si>
  <si>
    <t xml:space="preserve">MIPG: La Oficina Asesora de Planeación lideró el comité del mes de Mayo, se realiza seguimiento a los compromisos de las sesiones del comité institucional de gestión y desempeño. Además, se encuentra en proceso de diligenciamiento del FURAG 2022 el cual puede ser consultado en el link: https://drive.google.com/drive/folders/1WdRbSCuI7kG0sOuVsVXPHd5BAmaS0Br_?usp=drive_link. Además se realizaron orientaciones y sensibilizaciones durante el mes de mayo la cual incluyó contextualización de las instrucciones y lineamientos del reporte del FURAG 2022, a los gestores como a los directivos. Las mesas de trabajo con las dependencias que se generaron fueron:
• Oficina Asesora de Planeación
• Oficina de Tecnologías de la Información y las Comunicaciones
• Inspección, vigilancia y control
• Dirección de gestión corporativa
• Oficina de control interno
Módulo MIPG – SMART: Se actualizó el módulo MIPG en el SMART con base en los autodiagnósticos y los planes de sostenibilidad MIPG y además, se reportaron los incidentes al proveedor de servicios ITS con el fin permitir un adecuado funcionamiento del mismo.
Indicadores: La Oficina Asesora de Planeación realizó acompañamiento en la formulación de indicadores y realizó diferentes mesas de trabajo con las dependencias en la revisión y ajustes a los indicadores. Así mismo, realizó seguimiento a los indicadores en donde se verificó la información de los indicadores del mes de abril con respecto al POAI de la vigencia y se realizan los ajustes respectivos en el SMART. Por último se actualiza la información del tablero de indicadores del mes de abril y se actualizó el módulo de indicadores con los datos correspondientes al mes de abril de la presente vigencia.
Plan de comunicaciones: Durante el mes de mayo se realizó pieza publicitaria para la divulgación de LegalBog App, además, se envió correo electrónico a las instituciones universitarias con la pieza de divulgación. Se actualizó la base de datos de las instituciones y se recibe respuesta de la universidad Externado de Colombia. Así mismo, se realizaron piezas comunicacionales para IVC, TIC, Política Ambiental, FURAG. Se envió encuesta a las universidades sobre el Portafolio de Productos y Servicios de la SJD. Por último se </t>
  </si>
  <si>
    <t>Informe de gestión y resultados y seguimiento a plan de acción: Con el fin de apoyar la revisión y consolidación de información del Plan Operativo Anual de Inversión de la Entidad, en el mes de mayo se llevó a cabo la revisión y retroalimentación de los reportes del mes de abril, de las dependencias encargadas de ejecutar las metas de los proyectos de inversión del Plan Distrital de Desarrollo. Al respecto y con el fin de acompañar el proceso, se realizaron ejercicios de retroalimentación necesaria para lograr información clara y oportuna. Así mismo, se realizaron gestiones para actualizar el Portafolio de Productos y/o Servicios y Matriz de Caracterización de la Entidad, para lo cual se adelantaron actividades en el marco del Plan Anticorrupción y de Atención al Ciudadano – PAAC para llevar a cabo un laboratorio de simplicidad con el fin de traducir productos y/o servicios en un lenguaje claro. Los productos finales serán el Portafolio de Productos y/o Servicios y Matriz de Caracterización finalizados y divulgados, razón por la cual las demás actividades del laboratorio se concluirán en los meses de junio y julio de 2023.
Transparencia: Desde la Oficina Asesora de Planeación, durante el mes de mayo se revisó y cargó evidencias de dos compromisos: Circular con las instrucciones para el reporte anual de la información jurídica y Realizar seguimiento a compromisos fijados en mesa de trabajo adelantada con secretaria distrital de seguridad convivencia y justicia ya existentes en el aplicativo COLIBRÍ a los cuales se dieron cierre total. Además, se realizaron cuatro nuevos registros con soportes en el aplicativo COLIBRÍ de las mesas de trabajo con la subred Norte, Secretaría de salud, Secretaría distrital de gobierno y Metodología para la construcción de temas jurídicos, con el fin de dar cumplimiento a compromiso con la veeduría distrital por parte de la SJD.
Sistema de Gestión de Calidad: Durante el mes de Mayo se realizó aprobación de algunas solicitudes de eliminación, creación y actualización de la documentación necesaria para el Sistema Integrado de Gestión, en total se recibieron 15 solicitudes, de las cuales 15 se les dio aprobación para continuar con el flujo de revisión hasta la publicación. Así mismo, se realizo la actualización de los flujogramas en el SMART; y se revisó la antigüedad de los documentos según su versión y fecha de creación.
Planes de mejoramiento: Desde la OAP se elaboró y publicó el día 12 y 15 de mayo en el boletín interno y página web el informe ejecutivo de planes de mejoramiento mensual del mes de mayo, en el cual se dio a conocer mediante gráficos el estado actual de planes registrados hasta la fecha en el aplicativo SMART. Además, se adelantó asesoría para formulación y registro de planes de mejora producto de auditoría de calidad OCI al proceso de gestión judicial y extrajudicial que tuvo un registro total de 5 planes de mejora en el aplicativo SMART y se realizó asesoría de instrucción de porcentaje de avance y proceso para cargue de evidencias del plan 740 y 709 SMART.
Gestión del Riesgo: La Oficina Asesora de Planeación realizó la actualización de la Política de Administración de Riesgos y se presentó ante el Comité Institucional de Control Interno para aprobación. Además, se revisó solución de incidencia en el módulo de riesgos, relacionada al flujo de aprobación del monitoreo de los riesgos.</t>
  </si>
  <si>
    <t xml:space="preserve">Para la meta número 3 del proyecto de inversión, se programó un total de 2 instrumentos de apropiación para los temas estratégicos y desafíos institucionales por parte de los servidores. Los instrumentos son: Plan Anticorrupción y de Atención al Ciudadano 2023 y la Estrategia de Apropiación del Sistema de Gestión de Calidad (Grupo Gestor, Ruta de la Calidad, caracterización de usuarios y preparación de auditoría) los cuales fueron ejecutados durante el mes de mayo.
Plan Anticorrupción y de Atención al Ciudadano: Desde la Oficina Asesora de Planeación se realizó seguimiento de las actividades programadas para la Oficina Asesora de Planeación para el mes de mayo de 2023. Además, se terminó con la revisión, retroalimentación y consolidación del primer seguimiento del PAAC, con relación a la información que aportan las dependencias de la Entidad. Se proyectó memorando de respuesta a la Oficina de Control Interno, sobre solicitud de entrega de evidencias del primer seguimiento del PAAC y se realizó revisión, retroalimentación y respuesta sobre el informe preliminar del primer seguimiento del PAAC y riesgos de corrupción efectuado por la Oficina de Control Interno. De acuerdo con solicitudes de modificación de algunas actividades programadas en el Plan Anticorrupción y de Atención al Ciudadano, efectuadas por la Dirección Distrital de Asuntos Disciplinarios, Dirección de Política Jurídica y Oficina Asesora de Planeación, se generó versión 3 del PAAC, el cual puede ser consultado en el siguiente link: 
https://www.secretariajuridica.gov.co/4-planeacion-presupuesto-e-informes?field_fecha_de_emision_document_value=10&amp;field_4_planeacion_presupuesto_e_target_id=208
Además se proyectó memorando de respuesta a las solicitudes de modificación del PAAC a la Dirección Distrital de Asuntos Disciplinarios y Dirección de Política Jurídica. Así mismo, se proyectó memorando a la Oficina de Control Interno Informando sobre la versión 3 del citado documento. Se solicitó elaboración y divulgación de pieza comunicacional para dar a conocer a los usuarios, servidores y colaboradores de la Entidad, los resultados del primer seguimiento del Plan Anticorrupción y de Atención al Ciudadano.
Ley de Transparencia y Acceso a la Información: Se solicitó la publicación de diferentes documentos en la página web a la Oficina de Tecnologías de la Información y las Comunicaciones - TIC, igualmente se hizo seguimiento. También se gestionó y participó en capacitación sobre sobre “Corrupción Ley 1474 de 2011 y Programas de Transparencia y Ética en el Sector Público” desarrollada por la Secretaría de la Transparencia. Se participó en sensibilización sobre apertura de agendas desarrollada por la Secretaría General y se efectuó sensibilización sobre el registro de agendas abiertas en la plataforma de Gobierno Abierto al Despacho de la Secretaría Jurídica Distrital. Por último se realizó revisión y evaluación de la estructura y los contenidos de la página web vs los requisitos establecidos en la medición del Índice de Transparencia y Acceso a la Información Pública – ITA de la Procuraduría General de la Nación, por lo tanto, fue necesario realizar algunas solicitudes de actualización de información a la Oficina de TIC.
Estrategia de Apropiación del Sistema de Gestión de Calidad: Para el mes de mayo, la Oficina Asesora de Planeación preparó y lideró dos grupos gestor de calidad, el primero realizado el miércoles 10 de mayo en donde se presentó la metodología para dar respuesta al FURAG desde la Entidad. Así mismo, el segundo grupo gestor de calidad fue realizado el jueves 25 de mayo en donde se trataron los siguientes temas: Sistema de Gestión Ambiental - proceso de auditoría del sistema. Además, se realizaron recomendaciones a los gestores de calidad frente al seguimiento que deben realizar a cada plan de mejoramiento a través del aplicativo SMART. </t>
  </si>
  <si>
    <t>En el mes de mayo se desarrollaron las siguientes acciones:
• Se realizó 1 reunión con los usuarios de la secretaria de la mujer para socializar el ajuste realizado en el menú y sub menú de las líneas de atención del sistema, incluido en la APP. 
• Se envió solicitud para reactivación de la cuenta en las diferentes plataformas tanto iOS y Android con el fin de adelantar el proceso de publicación en los repositorios en la nube. 
• Se realizó ajuste a la base de datos de régimen legal se adicionaron las tablas las cuales contendrán los datos de comentarios realizados en la opción de LegalBog Participa. 
• En el módulo de Legalbog desarrollado en la App, se ajustó el acceso a los datos con el fin de agilizar la búsqueda de los actos administrativos y demás documentos jurídicos de interés para la ciudadanía. 
• Se optimizaron las consultas a la base de datos con el fin de acelerar los tiempos y mejorar las respuestas a los usuarios en la app LegalBogApp. 
• Se llevó a cabo una mejora en la interfaz de usuario de los comentarios en el módulo de legalBog Participa con el fin de hacer una experiencia más agradable en la participación del módulo. 
• Se organizó el proyecto con fin de optimizar los archivos que se utilizan en las publicaciones en las diferentes tiendas tanto Apple Store como google Play Store.</t>
  </si>
  <si>
    <t>En el ambiente de producción de LEGALBOG se realizó el despliegue de un RFC (RFC 006 para el Consorcio / RFC 0087 para SJD) con los controles de cambios realizados al módulo de Política por parte de la fábrica de software en el marco del contrato 160 de 2022, este ajuste permite dejar en el ambiente de producción los ajustes de del sub-módulo de ABOGACIA entre los que se destacan la activación y desactivación de abogados registrados en la plataforma, se mejora la interfaz de usuario buscando que se pueda realizar la selección de todos los abogados sin tener que seleccionar una a una las entidades.</t>
  </si>
  <si>
    <t>En el mes de mayo de 2023, se realizaron actividades para el mantenimiento de los servidores Windows, plataforma de servidores, administración de las bases de datos, sistema de nómina, sitio web de la entidad, aplicativo de contabilidad, aplicativo de gestión documental, aplicativo de bienes físicos y funcionalidades de LegalBog.</t>
  </si>
  <si>
    <t xml:space="preserve">En el mes de mayo de 2023, se realizó la sensibilización virtual en la Política de Tratamiento de Datos Personales, dirigida a los funcionarios y contratistas de la Entidad, con lo cual se busca que en caso que se requiera hacer una recolección, todos tengan la nocion de como proceder, con ello la adminstración será más eficiente. </t>
  </si>
  <si>
    <t>En el mes de junio de 2023, se realizó la medición de la meta trazada en el Plan Distrital de Desarrollo de “Fortalecer la Gestión Jurídica Distrital con Niveles de Eficiencia del 89% en el Distrito Capital”. Los resultados de la encuesta para las entidades, arrojó una percepción favorable del 98% y la encuesta de satisfacción de los servicios prestados por la Dirección Distrital de inspección, vigilancia y control de la secretaría jurídica distrital a la ciudadanía, obtuvo un resultado también del 97% de satisfacción. El total ponderando los anteriores resultados fue de 97,75%</t>
  </si>
  <si>
    <t xml:space="preserve">En el mes de junio se realizó el lanzamiento del Diplomado de Compliance Público, en la modalidad presencial con participación de 53 personas y remota por el canal de la UNAD y la SJD (esta última con 273 visualizaciones). 
Así mismo, se realizaron las siguientes conferencias a través de plataforma zoom: 
- Programas de cumplimiento normativo el 27 de junio.
- Gestión del riesgo el 29 de junio.
- Con relación al Diplomado: Se concluyó el trabajo de revisión de los módulos del diplomado, se realizaron las mesas de trabajo con decanatura y subsecretaría y se realizó la modificación de los contenidos.
El diplomado entregó herramientas de implementación del Decreto 610 de 2022, modelo de gestión jurídica anticorrupción en las entidades distritales, con el objeto de formar a profesionales con herramientas e instrumentos para la elaboración e implementación del plan del cumplimiento normativo en las entidades y organismos distritales y de los programas de transparencia que aporten a la lucha contra la corrupción y mejoren las buenas prácticas. Con las orientaciones se fortalecen las competencias para que los representantes de las entidades del sector central realicen el plan de cumplimiento normativo. </t>
  </si>
  <si>
    <t>Durante el mes de junio, se realizaron entre otras las siguientes actividades:
-Se asistió a la plenarias presenciales y virtuales de la Red Nacional de Observatorios Anticorrupción  RENOBA,  
- Se presentó a los asistentes de la Plenaria Jurídica de entidades y organismos distritales la línea de investigación "conductas penales y disciplinarias en el marco de la lucha contra la corrupción administrativa en Bogotá". - 
- Se realizó reunión con representantes de Tics con el fin de presentar una propuesta de modificación del micrositio ODCLA en la página web de la secretaría jurídica. 
- Se asistió y participó en el Seminario de Discusión Académica (SEDA), presentando en la ronda de preguntas, observaciones sobre el informe técnico de contratación interadministrativo 2023.
- Se envió la ponencia “Incidencias de los hallazgos en la gestión contractual del  Distrito capital” en el  II Congreso Internacional de control fiscal, en espera de aceptación para ser parte del congreso.   
- Se realizó presentación del Plan Estadístico Distrital en articulación con la Politica de Gestion de Informacion y Estadistica. 
- Se realizó socialización de la infografía de ley de garantías y Circular 016 de 2023 de la 
Secretaría Jurídica Distrital, con el fin de dar a conocer a las entidades y organismos distritales acerca de la entrada en vigencia de la ley de garantías, y de las restricciones y prohibiciones establecidas en dicha disposición normativa en materia de contratación.
Las anteriores actividades se realizaron con el fin de crear documentos de análisis y fortalecer herramientas del Observatorio Distrital de Contratación y Lucha Anticorrupción y con el fin de facilitar el acceso a la información de dicho observatorio.</t>
  </si>
  <si>
    <t xml:space="preserve">En el mes de junio de 2023, se realizó entrega de la versión definitiva del Análisis Jurídico y se efectuó la socialización y difusión del mismo. Se presentó dicho documento en el Boletín del Modelo de Gestión Jurídica Pública No. 45. </t>
  </si>
  <si>
    <t>Durante el periodo del reporte, desde la Dirección de Polítca Jurídica se realizaron entre otras las siguientes actividades: 
Se acordó con la Subsecretaría de Servicio a la Ciudadanía la Jornada de Orientación sobre trámites en el marco de la Política de Racionalización de Trámites. 
Se recomendó a las entidades distritales priorizar la revisión de las normas objeto de depuración normativa; y se realizó solicitues frente a los Decretos Únicos Sectoriales. 
Se elaboró el artículo sobre los avances en la depuración normativa y de la guía para la expedición de Decretos Únicos Sectoriales, el cual fue divulgado mediante el Boletín 45 del MGJP.</t>
  </si>
  <si>
    <t xml:space="preserve">Se realizó una pieza de difusión y expectativa sobre los reconocimientos para el año 2023. La difusión se realizó a través del Boletín del Modelo de Gestión Jurídica Pública No. 45. https://secretariajuridica.gov.co/sites/default/files/2023-06/Boletin-N45-de-2023.pdf </t>
  </si>
  <si>
    <t>Con las actividades realizadas por la Dirección Distrital de Gestión Judicial, para el período comprendido entre el 01-01-2020 hasta el 30-06-2023 se obtuvo un Éxito Procesal Cuantitativo del 87,95%, que corresponde a la proporción entre, los 66.288 procesos terminados que fueron fallados a favor del Distrito Capital y el total de procesos terminados durante el período de reporte (a favor y en contra), equivalentes a 75.366 procesos. 
De esta manera, durante el periodo objeto de reporte, se superó la meta propuesta representada en la cantidad de procesos terminados favorablemente para el Distrito Capital, considerando que la línea base corresponde a un 83%. 
La variación del resultado del éxito procesal cuantitativo de Bogotá D.C. respecto al mes de mayo 2023 equivale al -0.19%; este comportamiento obedece a que en este periodo, la variación en la cantidad de procesos fallados a favor fue inferior a la de los fallados en contra.</t>
  </si>
  <si>
    <t>Durante el periodo correspondido entre el 1 y el 30 de junio se analizó jurídica y financieramente, una base de 650 ESAL por los contratistas, de las cuales se determinó el estado de 320 de ellas, así: 
• 319 ESAL que una vez verificado el estado actual se remite requerimiento de documentos faltantes, con el fin de que se pongan al día con sus obligaciones ante este ente de IVC, lo que corresponde al 99,69% del total de las ESAL determinadas.
• 1 ESAL que, una vez verificado el estado actual, se encuentran al día en el reporte de la información jurídica, contable y financiera, lo que equivale a un 0,31% del total de las ESAL determinadas.</t>
  </si>
  <si>
    <t xml:space="preserve">Durante el periodo correspondido entre el 1 y el 30 de junio de 2023, no se adelantaron orientaciones a ciudadanos en derechos y obligaciones de las entidades sin ánimo de lucro. Las próximas jornadas están previstas para el mes de agosto de 2023. </t>
  </si>
  <si>
    <t xml:space="preserve">En el mes de junio de 2023, se llevaron a cabo tres orientaciones en las que se trataron los temas: “Compliance en la administración pública - buenas prácticas administrativas”; “Causales de exclusión de responsabilidad en el derecho disciplinario”; y “Deberes y régimen disciplinario de los servidores públicos”. Adicionalmente, desde la Dirección Distrital de Asuntos Disciplinarios se apoyó en la ejecución de las jornadas de Inducción y Reinducción realizadas en el Instituto Distrital de Turismo (IDT) con la charla de orientación: “Sensibilización, supervisión e interventoría de los contratos estatales”. 
Por su parte, el día 28 de junio se realizó un taller presencial, en el que se trató el tema: “Practica y valoración probatoria”, el cual se realizó de manera presencial en el Auditorio Hemocentro ubicado en la Secretaría Distrital de Salud.
En las anteriores jornadas de orientación, participaron un total de 401 servidores y colaboradores del Distrito Capital, según listado de asistencia dispuesto en cada sesión. En total, al cierre del segundo trimestre del año 2023, se han realizado un total de 1.067 orientaciones a servidores públicos del D.C. en materia disciplinaria.
</t>
  </si>
  <si>
    <t xml:space="preserve">Durante este mes se publicaron 28 proyectos de actos administrativos en la plataforma LegalBog y se  reportaron 77 observaciones. Lo cual  se traduce en que según la programación mensual, con esta cifra,  se eleva a un 86% de cumplimiento,  lo cual representa para la meta total el 189% de cumplimiento.  
Con ocasión al comportamiento de la participación ciudadana, se han remitido constantemente  a las cabezas de sector,  diferentes oficios recordando la importancia de  generar acciones de mejora que permitan un incremento significativo en los proyectos de actos administrativos que publican. No obstante,  el resultado no depende de la Dirección de Doctrina y Asuntos Normativos por no ser una gestión Directa. </t>
  </si>
  <si>
    <t xml:space="preserve">De las 77 observaciones que se reportan para este mes se identificaron 22  incidencias positivas de los comentarios realizados por la ciudadanía lo que permite concluir que el 29%  de las observaciones fueron tenidas en cuenta para el mejoramiento de la gestión normativa distrital. 
En el mes de junio se expidieron 9 Decretos de los proyectos pubicados. </t>
  </si>
  <si>
    <t>MIPG: La Oficina Asesora de Planeación lideró la actualización del módulo MIPG en el Smart con base en los autodiagnósticos y los planes de sostenibilidad MIPG. Así mismo,  reportó los incidentes al proveedor de servicios ITS con el fin permitir un adecuado funcionamiento del mismo. Además, se realizaron las modificaciones de la Resolución 054 de 2018 solicitadas. Frente al reporte del FURAG, la Oficina Asesora de Planeación realizó la actualización y cargue de la información FURAG 2022 en el aplicativo. Se efectuaron diferentes orientaciones y sensibilizaciones para el diligenciamiento del FURAG 2022 a todas las dependencias como la explicación del diligenciamiento del plan de sostenibilidad MIPG 2023 en el grupo gestor de calidad de la Entidad.
Indicadores: La Oficina Asesora de Planeación realizó la actualización del módulo de indicadores con los datos correspondientes al mes de mayo de la presente vigencia. Así mismo, se realizaron diferentes mesas de trabajo con las dependencias en la revisión y ajustes a los indicadores. Se verificó la información de los indicadores del mes de mayo con respecto al POAI de la vigencia y se realizan los ajustes respectivos en el SMART además de actualizar la información del tablero de indicadores del mes de mayo y se realiza los ajustes solicitados en la oportunidad de mejora de la auditoría de calidad.
Plan de comunicaciones: Durante el mes de Junio se realizó pieza comunicacional para recordación de LegalBog App, la misma fue remitida vía correo electrónico a las instituciones universitarias con la pieza de divulgación. Además se actualizó la base de datos de las instituciones y se recibió respuesta por parte de la universidad Militar Nueva Granada. Se realizó llamada telefónica para pedir correos de los decanos y/o rectores de las diferentes instituciones se comparte información y pieza comunicacional de la aplicación LegalBog. Se envió correo con encuesta del Portafolio de Productos y servicios de la SJD.
Gestión Ambiental: Al 30 de junio de 2023 el avance en la implementación del Plan de Acción PIGA 2023 es de 57,53%. El avance de los programas PIGA a la fecha es: ahorro y uso eficiente del agua (62,5%), ahorro y uso eficiente de la energía (55,5%), gestión integral de residuos sólidos: (47,8%), consumo sostenible (69,23%), implementación de prácticas sostenibles (60%). Con corte a 30/06/2023 el Sistema de Gestión Ambiental cuenta con un porcentaje de implementación del Plan de Acción Interno para el manejo y aprovechamiento de residuos sólidos –PAI de 42,8%. Además, se realizó la creación de todas las actividades del plan de acción del PIGA y del del plan de trabajo de gestión ambiental de la vigencia en el módulo de gestión ambiental del SMART y se realizó el cargue y actualización del Plan de Acción Interno -PAI en el módulo de gestión ambiental del SMART. En el marco del Plan de acción del PIGA y el cumplimiento del Acuerdo 197 de 2005 se desarrolló la Semana Ambiental desde el día 01/06/2023 hasta el 05/06/2023 así: charla sobre cambio climático (01/06/2023), juego jenga (01/06/2023), charla sobre aves de Bogotá (02/06/2023), salida ecológica PNN Chingaza (03/06/2023), taller de agroecología (05/06/2023) y juego de las 3R (05/06/2023). También se realizó la reunión trimestral de seguimiento a los consumos de servicios públicos de la Manzana Liévano el día 26/06/2023 la cual contó con la participación de las Secretarías General y de Gobierno.
Gestión Documental: La Secretaría Jurídica Distrital durante el mes de junio de 2023 llevó a cabo las siguientes actividades:
Historia Laboral: Este proyecto se desarrollará en el segundo semestre de 2023, ya se realizaron mesas de trabajo con los administradores de SIGA y PERNO a fin de establecer los ajustes necesarios para traer los campos requeridos en la conformación de la historia labora, así mismo se requiere la actualización de información relacionada con el manual de funciones del 5% de los funcionarios que fueron modificadas sus funciones  con la Resolución  039 de 2019 y el 6% restante se modificaron las funciones con la Resolución 085 de 2020, y teniendo en cuenta que solamente se están afectando 21 funcionarios se están ajustando las funciones directamente desde Perno a fin de no generar retrasos en el proyecto." - Teniendo en cuenta los desarrollos que se van a realizar en el presente proyecto y teniendo en cuenta los compromisos adquiridos por la Dirección de Gestión Corporativa se incluyen dentro de las certificaciones laborales y la historia laboral las funciones desempeñadas por los gestores de calidad, se adjunta cadena de correos donde se solicita a la Oficina Asesora de Planeación en envió de las funciones para incluirlas en el proyecto.
También se generó el reporte de certificaciones laborales expedidas durante el mes de junio de 2023 con lo cual se determinó que en lo corrido de 2023 (corte 30 de junio) se generaron 668  certificados laborales electrónicas. Durante junio de 2023 se realizó revisión detallad al Sistema de información SIGA, validando que el 100% de las firmas digitales y mecánicas de los Directores y/o jefes de la Secretaría jurídica Distrital se encuentran debidamente parametrizadas, no se ha realizado rotación de estos cargos.
Se realizaron las actividades en el marco de implementación del Sistema Integrado de Conservación - SIC, se entrega informe de ejecución Plan de Preservación Digital a Largo Plazo con sus evidencias. En junio de 2023 se realizó la capacitación ÍTEM 1 Sensibilización Gestión y tramite de comunicaciones oficiales aplicativo SIGA Fecha: 13 de junio⋅8:00 – 10:00am Virtual se hizo referencia al Sistema Integrado de Conservación SIC y al Plan de Preservación Digital a Largo Plazo Además, se realizó la revisión de instrumentos archivísticos (Modelo de Requisitos para la Gestión de Documentos Electrónicos de Archivo)</t>
  </si>
  <si>
    <t>Informe de gestión y resultados y seguimiento a plan de acción: Con el fin de apoyar la revisión y consolidación de información del Plan Operativo Anual de Inversión de la Entidad, en el mes de junio se llevó a cabo la revisión y retroalimentación de los reportes del mes de mayo, de las dependencias encargadas de ejecutar las metas de los proyectos de inversión del Plan Distrital de Desarrollo. Al respecto y con el fin de acompañar el proceso, se realizaron ejercicios de retroalimentación necesaria para lograr información clara y oportuna. Así mismo, se socializaron las pautas para la presentación de informes de gestión y resultados con ocasión a la finalización del segundo trimestre del año, a través de la difusión de una pieza gráfica en el boletín interno de comunicaciones y en intervención en el grupo gestor del mes de junio. Por otra parte, en el mes de junio se trabajó en la actualización del Portafolio de Productos y Servicios de la Entidad, teniendo en cuenta las actividades del laboratorio de innovación desarrolladas para traducir al menos tres productos en lenguaje claro. Este portafolio podrá ser consultado en:  https://secretariajuridica.gov.co/sites/default/files/2023-06/Portafolio-de-Productos-y-Servicios.pdf
Transparencia: Desde la Oficina Asesora de Planeación, durante el mes de junio Se revisó y elaboró respuesta a solicitud de transparencia por Colombia frente a 2 preguntas de la medición ITB de las cuales solicitaban adicionar información detallada de pagos de primas, bonificaciones y número de sanciones disciplinarias de funcionarios de la Entidad.
Sistema de Gestión de Calidad: Durante el mes de Junio se realizó seguimiento y aprobación de las solicitudes de eliminación, creación y actualización de la documentación necesaria para el Sistema Integrado de Gestión, en total  25 flujos de trabajo de las cuales 15 son nuevas solicitudes. Teniendo en cuenta la mejora continua del sistema de gestión se envía la necesidad de revisar los documentos estandarizados en el sistema a través del SMART a los 17 procesos de la Secretaria Jurídica Distrital.
Normograma: Teniendo en cuenta la auditoría realizada por la Oficina de Control Interno y ejecutando el cumplimiento de las observaciones identificadas se lleva a cabo la actualización del normograma por procesos.
Planes de mejoramiento: Se elaboró y publicó el día 26 y 27 en boletín interno y página web informe ejecutivo de planes de mejoramiento mensual del mes de junio, en el cual se dio a conocer mediante gráficos el estado actual de planes registrados hasta la fecha en el aplicativo SMART. Además se realizó asesoría para la corrección del avance y diligenciamiento de seguimiento como gestor de los procesos de TICS y Talento humano. Se efectuó acompañamiento para revisión y formulación de plan declarado como no efectivo por parte de OCI del proceso de IVC 756. Así mismo, se realizó revisión de informe de calidad de los procesos de Talento humano y Gestión judicial producto de auditoría OCI de los cuales se formuló 2 planes de mejoramiento nuevos para cada dependencia. Se gestionó acompañamiento al gestor del proceso de gestión disciplinaria de la DDAD, para explicación del módulo de planes de mejora y notificaciones de otros módulos además de revisión y diligenciamiento de seguimientos de planes de mejora a cargo de esta dependencia. Por último, desde la OAP se revisaron las diferentes soluciones del proveedor de servicios ITS de reportes 2 y 3 del mes de mayo, respecto a adición de anexos plan 756 y eliminación de plan 800 creado por error involuntario. Se realizó revisión de procedimiento 2310100-PR-008 Acciones correctivas preventivas y de mejora el cual no requirió ningún ajuste ya que está de acuerdo con la actualidad, únicamente se solicitó actualización de Manual del módulo de planes SMART como documento anexo.
Gestión del Riesgo: La Oficina Asesora de Planeación revisó el informe de seguimiento a la gestión del riesgo (riesgos de gestión) y evaluación de la Política de Administración del riesgo y se programaron mesas de trabajo con los diferentes procesos para analizar las observaciones y realizar los ajustes correspondientes.</t>
  </si>
  <si>
    <t>Para la meta número 3 del proyecto de inversión, se programó un total de 2 instrumentos de apropiación para los temas estratégicos y desafíos institucionales por parte de los servidores. Los instrumentos son: Plan Anticorrupción y de Atención al Ciudadano 2023 y la Estrategia de Apropiación del Sistema de Gestión de Calidad (Grupo Gestor, Ruta de la Calidad, caracterización de usuarios y preparación de auditoría) los cuales fueron ejecutados durante el mes de junio.
Plan Anticorrupción y de Atención al Ciudadano: Desde la Oficina Asesora de Planeación, se envió correo a los gestores de los diferentes procesos donde se les recordaba la revisión de las actividades establecidas en el PAAC con fecha de cumplimiento a Junio 30 /2023 como resultado de esto, se consolidó información en la matriz del PAAC, en los componentes de Rendición de cuentas, Atención al ciudadano y Transparencia, de acuerdo con la información enviada.
Ley de Transparencia y Acceso a la Información: Se gestionó la publicación de diferentes piezas comunicacionales  en el boletín interno entre las cuales están: Plan Estratégico de las Tecnologías de la Información y Comunicaciones –PETI, Tips de Seguridad y Privacidad de la Información, Rendición de cuentas, Cómo interponer denuncias por irregularidades en nuestras funciones como servidores públicos; y documentos en la página Web Como: : tablero de indicadores Mayo 2023, Política de Administración de Riesgos V2 y Portafolio de Productos y Servicios
Estrategia de Apropiación del Sistema de Gestión de Calidad: Para el mes de junio, la Oficina Asesora de Planeación preparó y lideró dos grupos gestor de calidad, el primero realizado el miércoles 21 de junio en donde se presentó la metodología para la construcción del mapa de conocimiento de la Entidad. Dichos lineamientos fueron presentados por la Dirección Distrital de Desarrollo Institucional de la Secretaría General a los diferentes procesos del SIG de la Secretaría Jurídica Distrital. Así mismo, organizó y lideró el segundo grupo gestor de calidad, el cual fue realizado el martes 27 de junio en donde se trataron los siguientes temas: Sistema de Gestión Ambiental – Requisitos de la norma ISO 14001. Además, se realizaron recomendaciones a los gestores de calidad frente a la presentación del informe de gestión y resultados de la Entidad. Seguimiento segundo trimestre al plan de sostenibilidad del Modelo Integrado de Planeación y Gestión y formulación de políticas públicas y su seguimiento. Por último, la Oficina de Control interno presentó recomendaciones sobre el seguimiento a los riesgos de gestión de los diferentes procesos.</t>
  </si>
  <si>
    <t>La meta para la vigencia, se cumplió en el mes de mayo de 2023.</t>
  </si>
  <si>
    <t>En el ambiente de producción se realiza el despliegue de un RFC (RFC 007 para el Consorcio o RFC 0088 para SJD) con los controles de cambios realizados al módulo de Doctrina por la fábrica de software en el marco del contrato 160 de 2022. 
Adicionalmente, se realizó mantenimiento de los COTS que componen el sistema de información LEGALBOG para mantenger su disponibilidad de acuerdo con los parámetros de servicio establecidos por la entidad, así como el soporte a usuarios según lo requerido, dando solución a 10 requerimientos internos y externos. Finalmente, se realizaron 13 reuniones con la  Fábrica de Software y las áreas de la Entidad y se iniciaron las pruebas de Régimen Legal del módulo de Politica.</t>
  </si>
  <si>
    <t>Se realizaron actualizaciones de seguridad en Windows Server para evitar materialización de ataques cibernéticos y generar mayor estabilidad en el sistema operativo de Windows, adicionalmente, se realizó la parametrización y ajuste la plataforma de LIMAY para el cálculo de retenciones y se hicieron nuevos desarrollos en el sistema integrado de gestión documental SIGA, con el fin de sistematizar la inclusión de una firma electrónica en las hojas de control de conformación de los expedientes físicos y electrónicos que se alimentan en el sistema de información.
Se realizó afinamiento en el bloqueo de reglas del dispositivo de seguridad WAF (Web Application Firewall) aplicado a los dominios de bogotajuridica.gov.co y secretariajuridica.gov.co.
Se actualizó el licenciamiento de aplicativo RDWEB, el cual, permite realizar cambios de contraseñas de directorio activo, correo electrónico y aplicativo SIGA.
Se realizaron monitoreos preventivos en los diferentes Sistemas de Información de la Entidad y no se registraron vulnerabilidades en la plataforma de sistema operativo Windows, ni en otros sistemas, ni fallas en el funcionamiento de la página web.
Se gestionó oportunamente la alerta de falla presentada en la infraestructura, la cual se dió por una baja en el flujo eléctrico, logrando eliminar las alarmas generadas por la Plataforma Oracle PCA y garantizando nuevamente la alta disponiblidad del servicio.</t>
  </si>
  <si>
    <t>Se realizó revisión de las políticas de enrutamiento de la entidad correspondiente al período de junio de 2023.</t>
  </si>
  <si>
    <t>El Proyecto 7621 con corte a 30 de Junio de 2023 tiene $ 3.208.932.214 comprometidos para el logro de las metas y se lograron concretar 49 contratos. Lo anterior implica compromisos presupuestales por el 81,46%</t>
  </si>
  <si>
    <t>En el segundo trimestre de 2023, se gestionaron oportunamente 208 requerimientos de competencia de la Subsecretaría.</t>
  </si>
  <si>
    <t>1- Se logró  un incremento de 110 seguidores, 30 seguidores por encima del objetivo planteado para la red social Twitter. 
2 Se   generó contenido de valor para los seguidores de la red social, en especial para lograr engagement (generar un vínculo “emocional” con lu comunidad virtual), en especial con los nuevos perfiles incorporados en la cuenta.
3- Se logró visibilizar las páginas, vínculos de consulta y visualización de documentos de interés con llamados a la acción, a través del análisis, divulgación de los proyectos de decreto, de la compilación normativa, promoción de la aplicación: LegalBog App, la Biblioteca virtual, decretos, entre otras temáticas.
4- Como parte de la estrategia en Comunicación, y el objetivo de incrementar la presencia institucional en redes sociales y la generación de contenido de valor, se efectuó la apertura y la inauguración de la red social Instagram, exactamente el 27 de junio de 2023. 
Con corte a 30 de junio, se logró la incorporación de 80 seguidores, con 5 publicaciones y 7 historias que generaron 420 views.</t>
  </si>
  <si>
    <t xml:space="preserve">1. Se realizó un control permanente a 107 solicitudes de publicación de campañas de comunicación interna  durante el segundo trimestre de la vigencia 2023. Se   garantizó que el cien por ciento de las solitudes emitidas por usuarios internos y de entidades distritales se divulgarán en un plazo máximo de tres dias en los canales internos de comunicación en  la entidad.   </t>
  </si>
  <si>
    <t>En el segundo trimestre del año, se realizó el monitoreo de los servicios de tecnologías de la información de la SJD, cumpliendo con las metas propuestas, manteniendo la disponibilidad de estos dentro de los parámetros establecidos en el procedimiento a la fecha con una medición superior al 98%. Los resultados fueron 99,78%; 98,94%; 99,81% para los meses de abril, mayo y junio respectivamente, logrando un cumplimiento promedio de 99,51%</t>
  </si>
  <si>
    <t>Durante el segundo trimestre de 2023, se recibieron un total de 623 requerimientos de los cuales el 46,07% (287) fueron de soporte, el 16,85% (105) de sistemas administrativos y el 37,08% 231) misionales, De los requerimientos recibidos el 100% fueron gestionados y asignados, el 81% fueron resueltos o cerrados y el restante 19% fue asignado y se encuentran en curso.</t>
  </si>
  <si>
    <t>De acuerdo con las encuestas de satisfacción realizadas por los usuarios, se obtuvo una puntuación para el trimestre de 96,38%, donde el mes con mejor puntaje fue abril con un 98,1% y el de más bajo nivel de satisfacción fue mayo, con una calificación promedio de 94,8%. Es importante resaltar que según las estadísticas, el mes de mayo presentó mayor número de solicitudes en el trimestre.</t>
  </si>
  <si>
    <t>Durante el segundo trimestre de 2023 se representó judicial y extrajudicial y con éxito todos los procesos que se encuentran a cargo de la Secretaría Jurídica por lo que, los 704 procesos activos se representaron jurídicamente al 100%, blindando de esta manera, al Distrito Capital.</t>
  </si>
  <si>
    <t xml:space="preserve">Se ha logrado mejorar el porcentaje de depuración de la información y un mejor registro de la nueva que se ingresa, lo cual permite entregar en tiempo real información más acertada y en tiempo real, para agilizar la toma de decisiones  </t>
  </si>
  <si>
    <t>Durante el segundo trimestre del año 2023, la DDDAN gestionó la revisión de legalidad, en el marco de las competencias establecidas en el Decreto 323 de 2016 y sus normas modificatorias, de los siguientes trámites que requieren la firma de la Alcaldesa Mayor. Lo anterior, a partir de las solicitudes realizadas por diferentes entidades distritales:
1. DECRETOS: Se revisaron CIENTO DOS (102) proyectos de decreto. 
2. RESOLUCIONES : Se revisaron TRES (3) proyectos de actos administrativos para la firma de la alcaldesa.
3. DIRECTIVAS  cero revisiones.                            
4.ACUERDOS PARA SANCIÓN: Se tramitaron TRECE  (13) proyectos de acuerdo para sanción.
De los trámites revisados se expidieron los siguientes actos administrativos con firma de la Alcaldesa Mayor:
1. DECRETOS EXPEDIDIDOS: Treinta y un  (31)
2. RESOLUCIONES: una (1) 
3. DIRECTIVAS: (0)
4. ACUERDOS SANCIONADOS: Doce (12)
En el formato 2310100-FT-316, se describe en forma detallada esta información.</t>
  </si>
  <si>
    <t>La Oficina Asesora de Planeación, para el segundo trimestre de la vigencia 2023 programó el indicador “Lograr un nivel de satisfacción del 98% con calificación muy satisfecho y totalmente satisfecho, mediante la aplicación de la encuesta de satisfacción de asesorías en los espacios de acompañamiento brindados, para el fortalecimiento del desempeño de los procesos de la Entidad”. Teniendo en cuenta las gestiones enmarcadas en el proceso de Planeación y Mejora Continua, la Oficina Asesora de Planeación señaló adelantar asesorías encaminadas a mantener el sistema de gestión de la entidad y la formulación y ejecución de planes, programas y proyectos institucionales. Es así, como en el primer trimestre de la vigencia 2023 se logró capturar 36 encuestas de satisfacción, de las cuales el 89% fueron calificadas como totalmente satisfecho y el 8% como muy satisfecho. Lo que indica que el nivel de satisfacción fue del 97,22%. Es por esto que la Oficina Asesora de Planeación realizó seguimiento a la encuesta con respuesta de “nada satisfecha” para verificar cual fue la causa de dicha calificación. Una vez consultado con la persona que asistió a la asesoría este indica que fue un error de digitación y que no tiene ninguna inconformidad frente a la asesoría brindada sobre el PIGA el día 17 de mayo del presente año. Por lo tanto la Oficina Asesora de Planeación procedió a ajustar el valor del indicador con un resultado de nivel de satisfacción fue del 100 %, en donde el 91,4% fueron calificadas como totalmente satisfecho y el 8,6% como muy satisfecho. Así mismo, realizará mayor seguimiento al diligenciamiento de las encuestas debido a que no todas las asesorías son evaluadas. Entre los temas asesorados en el segundo trimestre se destacan los siguientes: seguimiento del Plan Anticorrupción y de Atención al Ciudadano 2023, seguimiento del POA institucional 2023, seguimiento de indicadores, monitoreo de riesgos, planes de mejoramiento, Índice de Transparencia Bogotá, Grupo Gestor de Calidad, Gestión Ambiental y formulación de planes de acción de las políticas públicas en las cuales participa la Entidad y su seguimiento, entre otros.</t>
  </si>
  <si>
    <t>En el marco del Proceso de Planeación y Mejora Continua, la Oficina Asesora de Planeación atendió el 100% de las peticiones solicitadas, las cuales estuvieron encaminadas a mantener el sistema de gestión de la Secretaría Jurídica Distrital. Entre ellos están las relacionadas con el SMART.
Se realizaron un total de 26 incidencias o solicitudes relacionadas con el sistema SMART, las cuales han sido gestionadas y tramitadas. Al finalizar el trimestre, el estado de estas incidencias es el siguiente:
• 5 incidencias están pendientes de solución por parte del proveedor, ITS Soluciones Estratégicas S.A.S.
• 3 incidencias se encuentran en proceso de verificación de la solución por parte del solicitante.
• 18 incidencias han sido finalizadas y resueltas.
• Se atendieron las incidencias presentadas en el aplicativo SMART.
• Se atendieron las solicitudes para actualización del normograma.
• Se adelantó la semana ambiental de la SJD
• Se atendieron 4 solicitudes realizadas mediante el SIGA a la dependencia.
• Se reportaron a las entidades líderes de políticas públicas distritales los avances generados durante el primer trimestre de la vigencia 2023.</t>
  </si>
  <si>
    <t>Para la vigencia 2023 el proceso de Planeación y Mejora Continua estableció la realización de tres (3) jornadas del conocimiento. La Oficina Asesora de Planeación realizó la segunda jornada del conocimiento durante los meses de mayo (25) y junio (27) de 2023, sobre la formulación de políticas públicas y su seguimiento en el marco del grupo gestor de calidad debido a que los gestores en su mayoría son los encargados de reportar el seguimiento a las políticas en las que participa la Secretaría Jurídica Distrital y dos en la semana de inducción y reinducción liderada por el proceso de Gestión Documental.
Cabe aclarar, que los desarrollos de estas jornadas facilitan la transferencia del conocimiento tácito, el fortalecimiento de las capacidades estratégicas de la Entidad y la interacción con nuestros usuarios internos y externos.</t>
  </si>
  <si>
    <t>7 Reportes de avance de políticas públicas.
En el segundo trimestre se realizó el seguimiento a las políticas públicas de las que participa la Secretaría Jurídica Distrital. Posteriormente, se reportaron a las entidades líderes, dentro de los primeros 15 días del mes de abril de 2023
3  Informes:
- Se realizó seguimiento a la Estrategia de Participación Ciudadana 2023 y como resultado, se generó 1 informe sobre los resultados obtenidos en el primer cuatrimestre de la vigencia 2023.
- Se realizó seguimiento al componente de Rendición de Cuentas 2023, el cual se incluyó en el informe de avance del PAAC 2023.
Informe de funcionalidad del Módulo MIPG - SMART
En este sentido, y teniendo en cuenta la programación contemplada en el Plan de Gestión de la Oficina Asesora de Planeación, se elaboró y presentó 10 documentos relacionados con reportes e informes, durante el segundo trimestre de la vigencia 2023. Cabe aclarar, que dichos documentos fueron presentados, con una oportunidad promedio de 24,7 días. Es decir, 3,2 días por debajo de la meta del indicador, el cual está en 28 días. Lo anterior significa que la Oficina está reportando la información 3,2 días antes de lo previsto.</t>
  </si>
  <si>
    <t>En el segundo trimestre de 2023, la Oficina de Control Interno realizó tres (3) informes de ley, ocho (8) informes de seguimiento y veinte (20) auditorías programadas en el Plan Anual de Auditoría v3, con lo cual, se logró un avance del 32,42% en el cumplimiento de la meta.</t>
  </si>
  <si>
    <t>Durante el segundo trimestre de 2023, se realizaron las evaluaciones a dieciséis (16) auditorias ejecutadas, obteniendo un nivel de satisfacción de 99.83%, superando la meta establecida. 
En el período analizado, se encuentra pendiente de incluir la evaluación de cuatro (4) auditorías, que serán incorporadas en la medición del tercer trimestre, teniendo en cuenta que se encuentran en proceso de realización por parte de los procesos auditados, con el fin de realizar el consolidado del nivel de satisfacción, de las mismas.</t>
  </si>
  <si>
    <t>Para el segundo trimestre del año 2023, se tiene un avance del 100%, en razón a que la Dirección una vez practicadas las pruebas y/o diligencias ordenadas por el comitente en el auto respectivo, y cumplido el término de la comisión, se evaluaron 87 expedientes correspondiendo al 100% del total de procesos que se encontraban en etapa de sustanciar, profiriendo 125 decisiones, al tenor de lo dispuesto en la Ley 1952 de 2019.</t>
  </si>
  <si>
    <t>Frente a las encuestas de satisfacción de las orientaciones realizadas a servidores públicos del Distrito Capital, se evidencia que del número total de encuestados en el primer semestre de 2023, esto es 1.264, 1.252 calificaron favorablemente las jornadas, significando un avance de favorabilidad del 98,7%.</t>
  </si>
  <si>
    <t>En el segundo trimestre de 2023, se profirieron un total de 246 actos administrativos con tiempo promedio de 13, 66 meses dando cumplimiento a la meta establecida</t>
  </si>
  <si>
    <t>En el segundo trimestre, se expidieron 965 certificados  de IVC en un tiempo promedio 4,89 días hábiles, con lo cual se esta generando una mayor eficiencia y eficacia en el reporte de la información.</t>
  </si>
  <si>
    <t>Se resolvieron seis  solicitudes de recursos de reposición durante el segundo trimestre en un tiempo de 3,43 meses, con lo cual se viene garantizando los principios del proceso administrativo sancionatorio.</t>
  </si>
  <si>
    <t xml:space="preserve">Durante el segundo trimestre de 2023 se han tramitado (7) siete solicitudes de conceptos de vigencia normativa las cuales se dio respuesta definitiva en 6 días promedio estando dentro de los tiempos estipulados en el decreto 474 de 2022. </t>
  </si>
  <si>
    <t>En el segundo trimestre de 2023, se expidieron los siguientes documentos:
1. Se proyectó la Circular 016 de 15 de mayo de 2023 "LINEAMIENTOS GENERALES SOBRE RESTRICCIONES Y PROHIBICIONES DE LAS LEYES 996 DE 2005 Y 1952 DE 2019 CON OCASIÓN DEL PROCESO ELECTORAL DE 29 DE OCTUBRE DE 2023" Link de acceso: https://sisjur.bogotajuridica.gov.co/sisjur/normas/Norma1.jsp?i=141998
2. Se proyectó la Circular No. 17 Implementación del Decreto Distrital 610 de 2022. https://www.alcaldiabogota.gov.co/sisjur/normas/Norma1.jsp?i=142498</t>
  </si>
  <si>
    <t>En el segundo trimestre de 2023, se trabajó en:
1, Consultar, seleccionar, asignar, ajustar e incorporar los diferentes documentos jurídicos de impacto y relevancia para el Distrito en el sistema de información jurídico Régimen Legal. 
Realizando el comparativo del segundo trimestre del año 2022,  con el segundo trimestre del año 2023 es importante resaltar que se incrementaron las visitas al sistema de Régimen Legal en 1.899.614, lo que corresponde a un incremento de visitas al sistema del 45%.
2, Actualización del sistema de información jurídico denominado Abogacía General del Distrito Capital.
Durante el trimestre se recibió actualización por parte de la oficina de Tecnologías de la información, los cuales fueron incluidos en la red de abogados del Distrito.
3, Incorporación de documentos en el sistema de información jurídico denominado Biblioteca Virtual de acuerdo a las solicitudes recibidas.
Durante el trimestre se publicaron en la Biblioteca Virtual los siguientes documentos:
GUÍA DE COMPRA PÚBLICA PARA LA INNOVACIÓN EN EL DISTRITO CAPITAL
Autores: Erika Alejandra Sánchez Angarita, Juliana Ramírez Valencia Zuluaga, Santiago Amador
https://legalbog.secretariajuridica.gov.co/biblioteca-publico#/biblioteca-publico/2347
RÉGIMEN DE INHABILIDADES, INCOMPATIBILIDADES Y CONFLICTOS DE INTERESES PARA EL EJERCICIO DE FUNCIONES PÚBLICAS
Autor: Luis Gabriel Fernández Franco
https://legalbog.secretariajuridica.gov.co/biblioteca-publico#/biblioteca-publico/2346</t>
  </si>
  <si>
    <t>En el segundo trimestre de 2023, se realizaron las siguientes:
1, Jornada de orientación: “Lanzamiento de las Relatorías de la Secretaría Jurídica Distrital” La jornada se realiza el 12 de mayo y es transmitida por el canal de youtube de la Secretaría Jurídica Distrital, dirigida por las profesionales Diana María Moreno, Mónica Rocio Mejia y Elvira Liliana Hernández, funcionarias de la Dirección Distrital de Política Jurídica.  
Hasta la fecha cuenta con 183 visualizaciones y en el siguiente enlace se puede consultar la jornada completa: 
https://www.youtube.com/watch?v=S_xVMhwYpMg
2, Jornada de orientación: “Generalidades del Decreto 556 de 2021 Plan Maestro de Acciones Judiciales para la Recuperación del Patrimonio.”  La jornada de orientación se  realizó el 15  de mayo,  con transmisión en vivo por el canal de youtube de la Secretaría Jurídica Distrital y a la fecha cuenta con 238 visualizaciones. 
Dicha jornada puede visualizarse en el siguiente enlace:
https://www.youtube.com/watch?v=uyUYzwTQOBY&amp;t=317s
3, Jornada de orientación “Contexto actual de la contratación estatal en Colombia” La jornada se realizó el 16 de mayo con la participación del Dr Augusto Aranguren Tarazona Abogado y Docente de la Universidad Externado de Colombia, fue transmitido por el canal de youtube de la secretaría jurídica distrital y a la fecha cuenta con 437 visualizaciones.
Dicha jornada puede visualizarse en el siguiente enlace: 
https://www.youtube.com/watch?v=5Ut-sDqWIrU&amp;t=3s</t>
  </si>
  <si>
    <t xml:space="preserve">Durante el trimestre la Dirección Distrital de Política Jurídica fue convocada a 64 instancias de coordinación o mesas de trabajo de las cuales su participación activa fue del 59% lo que corresponde a 38 de ellas. La 
El 72%, corresponde 46 mesas de trabajo realizadas de manera virtual y 28% se desarrollaron de forma presencial. 
De las 64 mesas se asistieron a 62 de ellas, y el 3%, es decir (2 mesas), Consejo Consultivo de Mujeres y CONPES (Preconpes y mesas de trabajo), no se asistió,  debido a que en la primera no permitieron el ingreso y en la segunda se encontraba en el lanzamiento del diplomado Compliance. 
En cuanto al tipo de instancia la Dirección fue convocada a 23 mesas del Sistema de Coordinación, 12 de Coordinación jurídica y 29 otras mesas de trabajo. </t>
  </si>
  <si>
    <t>El proceso de atención a la ciudadanía contribuye en lograr el aumento de la satisfacción ciudadana a través de la gestión oportuna de las peticiones, para lo cual realiza un seguimiento a las dependencias de la Secretaría Jurídica Distrital que tienen a su cargo PQRS pendientes de emitir respuesta y que se encuentran próximas a vencerse con el fin de lograr una atención oportuna a las mismas.
Dicho seguimiento se realiza mediante la elaboración de un reporte generado a través del Sistema Distrital para la Gestión de Peticiones Ciudadanas Bogotá te Escucha, el cual es remitido semanalmente, de manera que, para el periodo comprendido entre abril y junio de 2023, se realizaron doce (12) reportes a las dependencias de la entidad.</t>
  </si>
  <si>
    <t>En busca de mecanismos que permitan mejorar la calidad y confiabilidad de la información contable, a partir del mes de diciembre de 2020 se vienen adelantando procesos de conciliación con las diferentes dependencias que intervienen en el proceso contable. Igualmente, con el fin de mejorar el flujo de información se emitió por parte de la Dirección de Gestión Corporativa la Circular 027 de 2022 que establece el tipo de información y los plazos para la entrega de esta al área de contabilidad.
Teniendo en cuenta las fuentes de información identificadas (tanto internas como externas), a la fecha se generaron 25 conciliaciones de acuerdo a lo programado.</t>
  </si>
  <si>
    <t>Para la vigencia 2023 se apropiaron recursos por $34.619.116.000, de los cuales $26.819.740.000 corresponden a Gastos de Funcionamiento y $7.799.376.000 a Gastos de Inversión.
Durante el segundo trimestre de la vigencia 2023, se logró superar la meta proyectada, con un total comprometido de $20.014.556.632 correspondiente a un 57,81%, lo anterior como resultado de las actividades de seguimiento realizadas y la respectiva socialización a las áreas ejecutoras de los recursos, así como la fuerte labor realizada durante el trimestre, para realizar la contratación de las líneas de contratación contenidas en el Plan Anual de Adquisiciones.</t>
  </si>
  <si>
    <t>Durante el segundo trimestre de la vigencia 2023, el proceso de Notificaciones dio atención oportuna a 237 actos administrativos emitidos por la Secretaría Jurídica Distrital han sido debidamente publicados, comunicados y/o notificados de acuerdo con lo establecido en cada uno de los actos cumpliendo con el 100% de la meta, garantizando la eficiencia y eficacia en la oportuna remisión de la información.</t>
  </si>
  <si>
    <t>Durante el segundo trimestre de la vigencia se ejecutaron las tres (3) actividades establecidas en el cronograma de trabajo para la implementación del Programa de Gestión Documental - PGD de la vigencia 2023, así se elaboró el Plan Anual de Transferencias Documentales Primarias para la vigencia 2023, el cual fue aprobado por la Directora de Gestión Corporativa y posteriormente fue divulgado mediante memorando 3-2023-5373 a todos los jefes de dependencia y se elaboró el cronograma de asistencia técnica para la preparación y realización de transferencias documentales primarias, el cual fue divulgado a las diferentes dependencias mediante memorando 3-2023-5542. 
De esta manera, se logra un avance del 9% para el trimestre y un total en lo corrido de la vigencia del 15%, logrando el porcentaje de ejecución proyectado.</t>
  </si>
  <si>
    <t>Durante el segundo trimestre, se realizó la publicación de 5 piezas comunicacionales alusivas a la actualización de la declaración de Bienes y Rentas y Conflicto de Intereses en las cuales se realizó la socialización del estado de actualización de la información por parte de cada una de las dependencias.</t>
  </si>
  <si>
    <t>De acuerdo con la programación presentada por el proceso de gestión del talento humano y específicamente en el documento técnico del Plan Institucional de Capacitación se presenta durante el segundo trimestre de la vigencia 2023 un cumplimiento del 160%, toda vez que se tenían programadas 5 actividades, las cuales se ejecutaron en su totalidad, y adicionalmente se ejecutaron 3 actividades que se encontraban rezagadas del primer trimestre.</t>
  </si>
  <si>
    <t>De acuerdo con la programación presentada por el proceso de gestión del talento humano y específicamente en el documento técnico del Plan de Bienestar e Incentivos al cierre del segundo trimestre se logró un 100% de cumplimiento en las actividades programadas, toda vez que se tenían programadas 44 actividades y se ejecutaron 43 de las programadas durante el trimestre, más una actividad que se encontraba rezagada del trimestre anterior (Torneo FUTSAL).</t>
  </si>
  <si>
    <t xml:space="preserve">De los 16 contratos suscritos, se han formalizado los requisitos de perfeccionamiento de 14 de ellos, con corte al 30 de junio.
Adicionalmente, es importante mencionar que los 4 contratos pendientes de formalización durante el primer trimestre de la vigencia 2023 fueron perfeccionados durante el mes de abril, de manera que se cumplieron los requisitos.
De acuerdo con lo anterior, se evidencia un cumplimiento del indicador de 113%, garantizando de manera adecuada y medible el cumplimiento de los principios de publicidad y transparencia. </t>
  </si>
  <si>
    <t>De acuerdo con el indicador formulado se logra superar la meta, alcanzando un 90% que corresponde a la cantidad encuestas con un resultado mayor o igual al 70%, sobre el total de encuestas contestadas.</t>
  </si>
  <si>
    <t>Del total de evaluaciones aplicadas a los servicios prestados tanto por entrega de suministros como la prestación de los servicios generales en el marco del proceso de Gestión Administrativa, durante el segundo trimestre de la vigencia 2023, se logró un porcentaje de satisfacción del 100%; superando la meta establecida del 90%.</t>
  </si>
  <si>
    <t>EN CUMPLIMIENTO</t>
  </si>
  <si>
    <t>En CUMPLImiento</t>
  </si>
  <si>
    <t>Dado que la naturaleza de este indicador es acumulada, se realiza el análisis para el primer semestre de 2023. Con corte a 30/06/2023 la Secretaría Jurídica Distrital utilizó 351,9 kg de resmas de papel, lo cual, con relación a la meta anual de consumo de papel (1737,74,47 kg), corresponde al 20,25% es decir, que durante el período comprendido entre el 1 de enero de 2023 y el 30 de junio de 2023 se presentó un ahorro de papel de 79,75% de la meta anual. Dentro de la información reportada, se consumieron durante el primer semestre de 2023, 153 resmas tamaño carta. NOTA: La información analizada fue remitida por la Dirección de Gestión Corporativa mediante radicado 3-2023-6532 del 17/07/2023 en la cual se indicó el consumo de resmas de papel tamaño carta correspondiente al primer semestre de 2023.</t>
  </si>
  <si>
    <t>durante el trimestre no se presentó ningún tipo de incidente relacionado con la seguridad de la información, sin embargo se adelantaron análisis de vulnerabilidades de manera proactiva con el fin de evitar posibles ataques a las infraestructuras evidencia cronograma analisis  vulnerabilidades.</t>
  </si>
  <si>
    <t>INCUMPLIMIENTO</t>
  </si>
  <si>
    <t xml:space="preserve">El nivel de satisfacción de los servicios prestados por la Entidad fue medido en JUNIO de 2023 y se mantiene respecto de la última medición aplicada en el segundo semestre de la vigencia 2022 la cual fue del 97,75%, lo que representa una consolidación en la satisfacción de nuestros usuarios y grupos de valor, resultado de todas las acciones que se adelantan en cumplimiento de la meta trazada. </t>
  </si>
  <si>
    <t>Durante el periodo de reporte, se realizó con el equipo del Diplomado Compliance de la Secretaría Jurídica el Mapa de riesgos para la elaboración del prototipo del plan de cumplimiento por parte de la Secretaría Jurídica Distrital, del cual se contó con retroalimentaciones e insumos. Se envió correo el 1 y 4 de julio de 2023, a los funcionarios inscritos, para la justificación de su inasistencia al Diplomado, posteriormente, el 27 de julio se envió correo a los antes mencionados para proponer nivelación. Se envió correo con insumos el 18 de julio de 2023 a los participantes del Diplomado, como herramientas para realizar el prototipo de plan de cumplimiento de cada sector. Se envió correo confirmatorio el 31 de julio de 2023 a los participantes del Diplomado para que asistieran de manera presencial a la presentación de los prototipos de Planes de Cumplimiento de cada sector.</t>
  </si>
  <si>
    <t>En el me de julio, se aprobó por parte del equipo ODCLA la primera línea de investigación del componente anticorrupción denominada “Conductas penales y disciplinarias en el marco de la lucha contra la corrupción administrativa en Bogotá”, se creó el Looker Studio de conductas penales de la línea de investigación, el cual será publicado en el mes de agosto de 2023. Igualmente se realizaron las infografías de contratos sin cumplimiento de requisitos legales e incidencia de los hallazgos por tipo de contrato, con los datos e información actualizada. 
Se envió al equipo ODCLA el avance de la segunda línea de investigación del componente anticorrupción denominada “Denuncia y protección al denunciante en el marco de la lucha contra la corrupción administrativa en el Distrito Capital”, para observaciones. Igualmente, se realizó la infografía de los Contratos y convenios interadministrativos y un avance del mapa mental sobre las entidades exceptuadas del Estatuto General de Contratación de la Administración Pública. 
Durante la vigencia fue entregado el avance a la tercera línea de investigación de componente anticorrupción denominada "naturaleza jurídica y régimen de contratación de las entidades exceptuadas del Estatuto General de Contratación de la Administración Público - vigencia 2023 empresas industriales y comerciales del Estado", para revisión. 
Con los instrumentos y avances de las líneas de investigación se logra fortalecer herramientas del Observatorio Distrital de Contratación y Lucha Anticorrupción con el fin de facilitar el acceso a la información de dicho observatorio.
Con las líneas de investigación, además de realizar el análisis para la gestión del conocimiento, se pretenderá contar con los siguientes instrumentos: 
1. Desarrollo de matrices de información, construcción de indicadores
2. Elaboración de looker estudio
3. Herramientas ágiles de consulta
Adicionalmente, con los documentos se contribuye al posicionamiento del ODCLA en la red de observatorios distritales, y en la red nacional de observatorios de lucha anticorrupción.</t>
  </si>
  <si>
    <t>No se progaman actividades para este periodo</t>
  </si>
  <si>
    <t>Durante el periodo del reporte, desde la Dirección de Polítca Jurídica se realizaron entre otras las siguientes actividades: 
Se remitieron a la Secretaria General, las respuestas al cuestionario del FURAG acerca de la Política de Mejora Normativa.
Se elaboraron y remitieron los artículos sobre la Jornada de Orientación de Lenguaje Claro e Inscripción de Trámites y el piloto AIN con el acompañamiento del DNP para la Secretaría Distrital de Gobierno, para el boletín del Modelo de Gestión Jurídica Pública # 46, con lo que se pretende dar claridad sobre las herramientas para la creación y modificación de trámites en el Distrito Capital y se dio a conocer la Metodología de Análisis de Impacto Normativo - AIN elaborada por el DNP a la Secretaría Distrital de Gobierno.
Se remitió el proyecto de Directiva ajustado que adopta la Guía para la Elaboración de Decretos Únicos Sectoriales.</t>
  </si>
  <si>
    <t>Durante el periodo reportado se creó una campaña de expectativa para el evento de Reconocimientos a la Excelencia y buenas prácticas en la gestión jurídica pública la cual se divulgó por medio de los boletines Bogotá Jurídica # 27, 28, 29 y 30 y en el Boletín del Modelo de Gestión Jurídica Pública #46, publicado el pasado 31 de julio de 2023.</t>
  </si>
  <si>
    <t>Con las actividades realizadas por la Dirección Distrital de Gestión Judicial, para el período comprendido entre el 01-01-2020 hasta el 31-07-2023 se obtuvo un Éxito Procesal Cuantitativo del 87,95%, que corresponde a la proporción entre, los 68.892 procesos terminados que fueron fallados a favor del Distrito Capital y el total de procesos terminados durante el período de reporte (a favor y en contra), equivalentes a 78.512 procesos. 
De esta manera, durante el periodo objeto de reporte, se superó la meta propuesta representada en la cantidad de procesos terminados favorablemente para el Distrito Capital, considerando que la línea base corresponde a un 83%. 
La variación del resultado del éxito procesal cuantitativo de Bogotá D.C. respecto al mes de junio 2023 equivale al -0.21%; este comportamiento obedece a que en este periodo, la variación en la cantidad de procesos fallados a favor fue inferior a la de los fallados en contra.</t>
  </si>
  <si>
    <t>Durante el periodo correspondido entre el 1 y el 31 de julio, se determinó el estado de 320 de ellas, así: 
• 315 ESAL que una vez verificado el estado actual se remite requerimiento de documentos faltantes, con el fin de que se pongan al día con sus obligaciones ante este ente de IVC, lo que corresponde al 98,44% del total de las ESAL determinadas.
• 5 ESAL que, una vez verificado el estado actual, se encuentran al día en el reporte de la información jurídica, contable y financiera, lo que equivale a un 1,56% del total de las ESAL determinadas.</t>
  </si>
  <si>
    <t xml:space="preserve">Durante el periodo correspondido entre el 1 y el 31 de julio de 2023, no se adelantaron orientaciones a ciudadanos en derechos y obligaciones de las entidades sin ánimo de lucro. Las próximas jornadas están previstas para el mes de agosto de 2023. </t>
  </si>
  <si>
    <t>En el mes de julio de 2023, se llevó a cabo la etapa precontractual y/o proceso de selección del contratista que se encargará de adelantar todos los estudios jurídicos en cuanto a la temática de la Directiva, lo que representa un 3% de avance en la actividad.</t>
  </si>
  <si>
    <t>En el mes de julio de 2023, se llevaron a cabo dos orientaciones en las que se trataron los temas: “Política de Protección al Denunciante” y “El principio de confianza en derecho disciplinario”. 
Por su parte, el día 26 de julio se realizó un taller presencial, en el que se trató el tema: “Formulación del Pliego de Cargos en el Código General Disciplinario: Elementos Jurídicos y Técnicos”, el cual se realizó en el Auditorio Hemocentro ubicado en la Secretaría Distrital de Salud y con el que logramos brindar a los participantes, una serie de herramientas que les permitirán la construcción de un Pliego de Cargos que se ajuste a las exigencias jurídicas establecidas en la ley disciplinaria. 
En las anteriores participaron un total de 121 servidores públicos del D.C.</t>
  </si>
  <si>
    <t>Durante este mes se publicaron 29 proyectos de actos administrativos en la plataforma LegalBog y se  reportaron 73 observaciones. Lo cual  se traduce en que según la programación mensual, con esta cifra,  se eleva a un 81% de cumplimiento,  lo cual representa para la meta total el 197% de cumplimiento.  
Con ocasión al comportamiento de la participación ciudadana, se han remitido constantemente  a las cabezas de sector,  diferentes oficios recordando la importancia de  generar acciones de mejora que permitan un incremento significativo en los proyectos de actos administrativos que publican. No obstante,  el resultado no depende de la Dirección de Doctrina y Asuntos Normativos por no ser una gestión Directa. 
En términos del incremento del 30% de la participación ciudadana, con el avance del mes de julio, teniendo en cuenta la programación de la Meta, el indicador refleja un 59% de incremento.</t>
  </si>
  <si>
    <t xml:space="preserve">De las 73 observaciones que se reportan para este mes se identificaron 18  incidencias positivas de los comentarios realizados por la ciudadanía lo que permite concluir que el 25%  de las observaciones fueron tenidas en cuenta para el mejoramiento de la gestión normativa distrital. 
En el mes de julio  se expidieron 11 Decretos de los proyectos pubicados. </t>
  </si>
  <si>
    <t>MIPG: En el marco del fortalecimiento del Modelo Integrado de Planeación y Gestión, la entidad respondió el Formulario único de Reporte a la Gestión luego de realizar diferentes mesas de trabajo con los líderes de las políticas evaluadas en la vigencia 2022, al cual se dio cierre oficial el 19 de julio de 2023. Así mismo, el 25 de julio se adelantó el Comité de Gestión y Desempeño MIPG en el cual se trató temas tales como: Diálogos Ciudadanos 2023, Aprobación eliminación documental en aplicación de TRD Convalidada, Aprobación actualización No. 1 Tablas de Retención Documental – TRD e Implementación del Decreto 610 de 2022. De igual forma se efectuó el II Seguimiento trimestral al plan de sostenibilidad MIPG 2023 y gestiones de prórroga a 5 actividades del proceso de evaluación independiente, igualmente se identificaron 2 inconsistencias en el plan autodiagnóstico respecto a la existencia de dos acciones que no permiten resignar notificación ya que su estado actual es en proceso de envió por lo cual no permite aportar evidencia y a su vez crear plan de sostenibilidad. Del mismo modo, se participó de reunión de desarrollos de moduló MIPG- Plan de sostenibilidad- Acción SMART, que tenía como fin autocompletar información con solo seleccionar cualquier actividad.
Indicadores: Por otro lado, se llevó a cabo asesorías, revisión y validación comparativa de los indicadores registrados en el POA de gestión e inversión para su correcta aprobación en módulo de indicadores en el aplicativo SMART, además se elaboró y publicó en página web, tablero de indicadores correspondiente al mes de junio. Además, se solicitó, consolidó, codificó y cargó los soportes de las actividades relacionadas con el II seguimiento trimestral del Plan de Acción General de Gobierno Abierto a cargo de la SJD. De igual manera se reportaron cuatro novedades del módulo de indicadores al proveedor de servicios ITS con el fin de solucionar algunas inconsistencias (notificaciones, reasignaciones de responsabilidad, columnas inactivas, semaforización, cambio de soportes de avances).
Senda de la Integridad: Con respecto a formulación e implementación de las acciones relacionadas con la Estrategia Senda de Integridad se llevó a cabo el Reto No.1 “Las Señales de la Cumbre” y se diligenció el anexo 01 Ficha descriptiva del contenido publicado y denominado “Reconocimiento y protección de los derechos de las mujeres”, y que comprende una serie de publicaciones en torno al beneficio y la protección de las mujeres, así mismo se participó de los lineamientos dados por parte de la Secretaría General respecto al Reto No.2 “Carta de un Senderista” del cual se debe elaborar y publicar en redes sociales una carta dirigida a la ciudadanía en la cual se cuenten todos los logros y lecciones aprendidas dadas en esta administración.
Plan de comunicaciones: Durante el mes de Julio se realizaron 2 piezas comunicacionales para la divulgación de LegalBog App, se envían 2 correos electrónicos a las instituciones universitarias con la pieza de divulgación los días 11 y 24 del mes de julio. Además, se diseñan las siguientes piezas comunicacionales para la TIC sobre la política de gobierno digital, Tips correo electrónico. y Arquitectura de TI. Así mismo, se verificó el lenguaje claro del Portafolio de Productos y Servicios de la SJD, pieza “Denuncias” y seguimiento a Políticas Públicas. Se diseñaron las piezas comunicacionales de: Auditoria, Política Ambiental, Boletín Ambiental, Dale vida al Planeta, Huella de Carbono, Ecoconducción, IVC y Bogotá Participa.
Gestión Ambiental: Al 31 de julio de 2023 el avance en la implementación del Plan de Acción PIGA 2023 es de 63%. El avance de los programas PIGA a la fecha es: ahorro y uso eficiente del agua (62,5%), ahorro y uso eficiente de la energía (66,6%), gestión integral de residuos sólidos: (56,52%), consumo sostenible (69,23%), implementación de prácticas sostenibles (65%). Con corte a 31/07/2023 el Sistema de Gestión Ambiental cuenta con un porcentaje de implementación del Plan de Acción Interno para el manejo y aprovechamiento de residuos sólidos –PAI de 64,28%. Así mismo, se realizó la definición y creación del plan de mejoramiento en el SMART, en respuesta a las observaciones y recomendaciones adelantadas por la Oficina de Control Interno sobre la auditoria del SGA. Se elaboró y remitió a través del STORM de la Secretaría Distrital de Ambiente el informe de Seguimiento Semestral del PIGA con corte a 30 de junio de 2023 junto con los informes de avance del programa de compras verdes del PIGA y de verificación del PIGA con el mismo corte.
Gestión Documental: Durante el mes de julio, se desarrolló el proyecto de historia laboral, principalmente se remitió al área de nómina el listado de los gestores de calidad y las funciones desempeñadas por ellos a fin de ser incluidas en las certificaciones e historias laborales en cumplimiento del acuerdo sindical. Así mismo, se genero reporte de certificaciones laborales expedidas durante el mes de julio de 2023 con lo cual se determina que en lo corrido de 2023 (corte 31 de julio) se generaron 790  certificados laborales electrónicas.  Durante julio de 2023 se realizó revisión detallada al Sistema de información SIGA, validando que el 100% de las firmas digitales y mecánicas de los Directores y/o jefes de la Secretaría jurídica Distrital se encuentran debidamente parametrizadas, no se ha realizado rotación de estos cargos.
Además, se actualizó el reporte de creación de expedientes electrónicos de modo que se determina que en lo que va corrido del año 2023 (corte 31 de julio de 2023) se crearon 208 expedientes electrónicos en el módulo de Gestión de Archivos de SIGA. Sin embargo, es importante resaltar que aunque el número de expedientes no se incrementado en términos generales lo que se realizó durante el mes de julio fue la inclusión de los anexos a cada uno de los expedientes a fin de tener la completitud de la información, así mismo, se realizó la creación de nuevos usuarios para la auditoria de  expedientes electrónicos y revisión de logs de auditoría a fin de garantizar la integridad de los mismos. Por último se realizaron las actividades en el marco de implementación del Sistema Integrado de Conservación - SIC, se entregó el informe de ejecución Plan de Preservación Digital a Largo Plazo junto con sus evidencias</t>
  </si>
  <si>
    <t>Frente a la meta número 2, se lograron integrar 4 herramientas y metodologías de gestión en el mes de julio, logrando incrementar la satisfacción de las partes interesadas. Durante el mes de julio se presentaron avances en los siguientes:
Informe de gestión y resultados y seguimiento a plan de acción: Con el fin de apoyar la revisión y consolidación de información del Plan Operativo Anual de Inversión de la Entidad, en el mes de julio se llevó a cabo la revisión y retroalimentación de los reportes del mes de junio y del segundo trimestre de 2022, de las dependencias encargadas de ejecutar las metas de los proyectos de inversión del Plan Distrital de Desarrollo y plan de gestión respectivamente. Al respecto y con el fin de acompañar el proceso, se realizaron ejercicios de retroalimentación necesaria para lograr información clara y oportuna.
A partir de lo anterior, se elaboró y publicó el Informe de Gestión y Resultados correspondiente al segundo trimestre de 2023 en el boletín interno de comunicaciones y en la página web de la Entidad, al cual se puede acceder a través del enlace: https://www.secretariajuridica.gov.co/4-planeacion-presupuesto-e-informes?field_fecha_de_emision_document_value=10&amp;field_4_planeacion_presupuesto_e_target_id=107
Sistema de Gestión de Calidad: Durante el mes de Julio se realizó seguimiento y aprobación de las solicitudes de eliminación, creación y actualización de la documentación necesaria para el Sistema Integrado de Gestión, en total  20 flujos de trabajo de las cuales 5 son nuevas solicitudes. Teniendo en cuenta el autocontrol en cada proceso y las actividades que aportan a la mejora Continua del sistema de gestión los procesos de la SJD realizan sus aportes en cuanto a la actualización documental y el normograma por procesos, cómo resultado de este ejercicio se actualizaron 20 documentos y el normograma de 9 procesos ya se encuentra actualizado.
Actualización documental y normograma: Teniendo en cuenta el autocontrol en cada proceso y las actividades que aportan a la mejora Continua del sistema de gestión los procesos de la SJD realizan sus aportes en cuanto a la actualización documental y el normograma por procesos, cómo resultado de este ejercicio se actualizaron 20 documentos y el normograma de 9 procesos ya se encuentra actualizado.
Portafolio de Productos y Servicios: en el marco de las actividades del laboratorio de simplicidad, el pasado 27 de julio se divulgó el Portafolio de Productos y Servicios con los usuarios (internos y externos) que participaron en la traducción de algunos productos del documento. También, se realizó la actualización en la plataforma Guía de Trámites y Servicios de Bogotá https://bogota.gov.co/servicios/guia-de-tramites-y-servicios/certificacion-de-inspeccion-vigilancia-y-control-de-entidades-sin-animo-de-lucro del nuevo trámite totalmente en línea automatizado de la estrategia de racionalización 2023, relacionado con la expedición de certificado de inspección, vigilancia y control a las ESAL.
Finalmente, se brindó información relacionada con los 8 trámites y 1 consulta de información de la Entidad, con el fin de que se actualizara el contenido de la página web, conforme a las recomendaciones brindadas por la Secretaría General en el último informe de transparencia socializado. Esto se realizó en apoyo con la Oficina de Tecnologías de la Información y las Comunicaciones y se puede verificar en enlace: https://www.secretariajuridica.gov.co/transparencia/tramites</t>
  </si>
  <si>
    <t>Durante el mes de julio se realizaron ajustes en el componente de desarrollo del GLPI y se atendieron  indicencias correspondientes con a validaciones a profundidad de los permisos de los usuairos a nivel del perfil.
Se garantizó el correcto funcionamiento de los cuatro sistemas de información jurídicos (Sistema de Información de Procesos Judiciales – SIPROJ, Sistema de Información Disciplinario – SID, “Sistema Régimen Legal de Bogotá” y Sistema de Información de Personas Jurídicas - SIPEJ). 
Así mismo, se brindó soporte y monitoreo a la infraestructura del sistema información LegalBog y a los componentes que lo conforman. Se realizaron pruebas funcionales de los ajustes para Régimen Legal del módulo de Política y los ajustes para el cambio de Arquitectura perteneciente al módulo de Transversales. 
 En el ambiente de producción se realizó el despliegue de 2 RFC´s de la siguiente manera: 
 RFC 008 y 0010 para el Consorcio o RFC 0089 y 0090 SJD respectivamente.</t>
  </si>
  <si>
    <t>En el mes de julio se realizó la copia de seguridad (backup) correspondiente a la totalidad de los usuarios del directorio activo, se realizaron labores de afinamiento en el bloqueo de reglas del dispositivo de seguridad WAF (Web Application Firewall) aplicado a los dominios de bogotajuridica.gov.co y secretariajuridica.gov.co, se actualizó el diagrama de la plataforma tecnológica de la Entidad con sus respectivos puntos de interconexión y direccionamiento, se finalizó la entrega del ambiente de pruebas de la base de datos Misional al área de desarrollo, se actualizaron los contenidos en la página web, así como vistas y menús de navegación; se realizaron nuevos desarrollos en el sistema integrado de gestión documental SIGA con el fin de visualizar los documentos radicados que llegan por el canal EMAIL en su formato original y en el módulo de expedientes para facilitar el proceso de exportación electrónica de la información y se dio atención oportuna a los requerimientos de los usuarios de los diferentes sistemas que maneja la Entidad.</t>
  </si>
  <si>
    <t xml:space="preserve">No se tiene contrato </t>
  </si>
  <si>
    <t>Durante el periodo de reporte, se realizaron jornadas de presentación de los prototipos de los planes de cumplimiento normativo y la entrega final de los mismos. En el marco de la implementación del Decreto Distrital 610 de 2022 y en desarrollo de las actividades del convenio interadministrativo 133 de 2023, culminó con éxito el diplomado en Compliance Público que brindó herramientas para la construcción de prototipos de planes de cumplimiento normativo para las 17 entidades participantes.
Adicionalmente, la Universidad Nacional Abierta y a Distancia realizó la retroalimentación a cada uno de los participantes y resaltó, entre otros aspectos, la necesidad de potenciar las herramientas asociadas a la comunicación y la información para la identificación de riesgos. Con los insumos otorgados en el Diplomado las entidades y organismos distritales podrán adoptar a través del órgano de cumplimiento los respectivos planes.
El diplomado generó un proceso de formación para la elaboración e implementación del plan del cumplimiento normativo en las entidades y organismos distritales , con el objeto que el prototipo sirva de insumo para los órganos de cumplimiento de las 17 entidades participantes en el diplomado. La retroalimentación dada por la universidad permite que sobre los mismos las entidades cuenten con elementos de trabajo para el fortalecimiento de la actividad y la estandarización de las actividades en materia de cumplimiento normativo.
Finalmente, se realizó la difusión a través del Boletín No. 47 del MGJP a través del enlace: https://secretariajuridica.gov.co/sites/default/files/2023-08/Boletin-MGJP-No-47-del-31-de-agosto-de-2023-.pdf</t>
  </si>
  <si>
    <t xml:space="preserve">En el me de agosto, se presentaron en el Dialogo Ciudadano de la Entidad las líneas de investigación en anticorrupción adelantadas por el ODCLA en lo corrido de 2023 https://drive.google.com/drive/folders/1FwhFUg7uyElhAXRg6bzxIykd_pRd-0Wi 
El 28 de agosto se realizó la presentación de las líneas de investigación trabajadas a Canal Capital, con el propósito de servir de información sobre los datos abiertos en materia anticorrupción para el proyecto “AHORA” de ese canal. 
Se publicó en el Micrositio ODCLA los siguientes instrumentos productos de las líneas de investigación trabajadas: 
- Infografías: 
Procesos judiciales iniciados en materia de contratación pública.
Incidencias de los hallazgos por tipo de contrato
Contrato sin cumplimiento de requisitos legales
Conductas penales y disciplinarias en el marco de la lucha contra la corrupción administrativa en el Distrito Capital.
Looker Studios: 
https://lookerstudio.google.com/s/truvTemD5-A 
https://lookerstudio.google.com/reporting/f27d34e0-48f3-41c0-bf33-ad5260a08b48 
Se realizó ponencia de las líneas de investigación en el marco del II Congreso Internacional de Control Fiscal “Transformación digital para el control fiscal” 
https://www.instagram.com/p/Cwnt65TpAgD/?img_index=1 https://twitter.com/auditoriagen/status/1697319451119509573?s=48&amp;t=3N9Y3HdgOFmORdUauqc7kA </t>
  </si>
  <si>
    <t>No se ejecutaron actividades para este periodo. Las gestiones para elaborar y presentar el siguiente documento de análisis jurídico, iniciarán a partir del mes de octubre de 2023.</t>
  </si>
  <si>
    <t xml:space="preserve">Durante el periodo del reporte, desde la Dirección de Polítca Jurídica se realizaron entre otras las siguientes actividades: 
Se acompañaron todas las mesas de trabajo que se han venido realizando todos los martes de 4 a 6 pm con el acompañamiento del DNP en cuanto a la implementación del Análisis de Impacto Normativo - AIN, en la posible modificación del acuerdo de discapacidad liderado por la Secretaría de Gobierno e Integración Social; así mismo, se realizó articulo para el Boletín mensual sobre el tema. 
Después de las respectivas revisiones por parte de la Dirección de Doctrina y Asuntos Normativos, y la Subsecretaría, en el mes de agosto se aprobó la Guía para la Elaboración de Decretos Únicos Sectoriales, la cual se encuentra pendiente de firma del Secretario Jurídico Distrital. 
Se asistieron a todas las mesas de trabajo requeridas, también a la aclaración de dudas citada por el DNP en cuanto a la postulación del concurso de Buenas Prácticas Regulatorias. 
Se apoyó a las entidades en sus dudas y modificaciones de la agenda regulatoria definitiva,  cambios y cargue en la agenda del Empresa de Renovación y Desarrollo Urbano de Bogotá en LegalBog. </t>
  </si>
  <si>
    <t xml:space="preserve">Para el mes de agosto de 2023, no habían actividades previstas en el plan de trabajo para esta meta, no obstante, con el fin de adelantar divulgación de los reconocimientos a las entidades y al cuerpo de abogados vinculados con el distrito se envió mediante SIGA a las entidades distritales el documento de reconocimientos 2023, para su conocimiento y el mismo fue divulgado en los boletines Bogotá Jurídica y Boletín del Modelo de Gestión Jurídica. De igual forma, se socializó el documento en el Comité Intersectorial de Gestión Pública y en el Comité Intersectorial de Movilidad.
Por otra parte, se solicitó al operador logístico una infografía (valor agregado) con el fin de exponer de manera gráfica el documento de reconocimientos 2023, la cual se encuentra en revisión por parte de la dirección. </t>
  </si>
  <si>
    <t>Con las actividades realizadas por la Dirección Distrital de Gestión Judicial, para el período comprendido entre el 01-01- 2020 hasta el 31-08-2023 se obtuvo un Éxito Procesal Cuantitativo del 87,70%, que corresponde a la proporción entre, los 71.220 procesos terminados que fueron fallados a favor del Distrito Capital y el total de procesos terminados durante el período de reporte (a favor y en contra), equivalentes a 81.211 procesos.
De esta manera, durante el periodo objeto de reporte, se superó la meta propuesta representada en la cantidad de procesos terminados favorablemente para el Distrito Capital, considerando que la línea base corresponde a un 83%.
La variación del resultado del éxito procesal cuantitativo de Bogotá D.C. respecto al mes de julio 2023 equivale al -0.05%; este comportamiento obedece a que en este periodo, la variación en la cantidad de procesos fallados a favor fue inferior a la de los fallados en contra.</t>
  </si>
  <si>
    <t>Durante el periodo correspondido entre el 1 y el 31 de agosto, se determinó el estado de 320 de ellas, así: 
• 307 ESAL que una vez verificado el estado actual se remite requerimiento de documentos faltantes, con el fin de que se pongan al día con sus obligaciones ante este ente de IVC, lo que corresponde al 95,94% del total de las ESAL determinadas.
• 13 ESAL que, una vez verificado el estado actual, se encuentran al día en el reporte de la información jurídica, contable y financiera, lo que equivale a un 4,06% del total de las ESAL determinadas.</t>
  </si>
  <si>
    <t xml:space="preserve">El día 24 de agosto de 2023, se adelantó la jornada de orientación en gobierno corporativo y registro único de beneficiarios finales – RUB, en la cual participaron 299 ciudadanos de manera virtual. La memoria de la jornada se encuentra en el link: https://www.youtube.com/watch?v=Y23XjtHWJj0&amp;t=195s </t>
  </si>
  <si>
    <t xml:space="preserve">En el mes de agosto de 2023, se llevaron a cabo dos orientaciones en las que se trataron los temas: “Buenas Practicas en la Contratación Estatal.” y “Buenas Prácticas En El Trámite Y Contestación De Peticiones Y Plena Observancia Del Derecho Fundamental De Petición.” 
Adicionalmente, la Dirección Distrital de Asuntos Disciplinarios apoyó las jornadas de Inducción y Reinducción realizadas en la Secretaria Distrital de Planeación y en la Secretaria Distrital de Movilidad con la charla de orientación: “Deberes Y Responsabilidad Disciplinaria De Los Servidores Públicos”. 
Por su parte, el día 23 de agosto se realizó un taller presencial, en el que se trató el tema: “juzgamiento disciplinario: variación del pliego, el fallo y las exigencias jurídicas para proferir sanción disciplinaria.”, el cual se realizó en las aulas Barule ubicadas en la Sede principal de la Alcaldía mayor de Bogotá y con el que logramos brindar a los participantes, las herramientas que les permitirán adelantar la etapa de juzgamiento respetando los derechos fundamentales de los implicados.
En estas jornadas de orientación participaron un total de 450 servidores y colaboradores del Distrito Capital, según listados de asistencia dispuestos en cada sesión. </t>
  </si>
  <si>
    <t>Durante este mes se publicaron 38 proyectos de actos administrativos en la plataforma LegalBog y se  reportaron 271 observaciones. Lo cual  se traduce en que según la programación mensual, con esta cifra,  se eleva a un 301% de cumplimiento,  lo cual representa para la meta total el 225% de cumplimiento.  
Con ocasión al comportamiento de la participación ciudadana, se han remitido constantemente  a las cabezas de sector,  diferentes oficios recordando la importancia de  generar acciones de mejora que permitan un incremento significativo en los proyectos de actos administrativos que publican. No obstante,  el resultado no depende de la Dirección de Doctrina y Asuntos Normativos por no ser una gestión Directa. 
En términos del incremento del 30% de la participación ciudadana, con el avance del mes de agosto, teniendo en cuenta la programación de la Meta, el indicador refleja un 67,5% de incremento.</t>
  </si>
  <si>
    <t xml:space="preserve">De las 271 observaciones que se reportan para el periodo informado se identificaron 68  incidencias positivas derivadas de los comentarios realizados por la ciudadanía lo que permite concluir que el 25%  de las observaciones fueron tenidas en cuenta para el mejoramiento de la gestión normativa distrital. 
En el mes de agosto se expidieron 7 Decretos de los proyectos pubicados. </t>
  </si>
  <si>
    <t>MIPG: En el marco del fortalecimiento del Modelo Integrado de Planeación y Gestión, se realizó seguimiento a las acciones del plan de sostenibilidad MIPG, próximas a vencer; así mismo, se realizaron un total de 12 prórrogas entre TICS y DGC, con el fin de tener la oportunidad de adelantar o cargar actividades que dan cumplimiento a cada acción. Aunado a lo anterior se adelantaron 2 reuniones con el proveedor de servicios ITS para revisar los 2 desarrollos finales del módulo de MIPG. Así mismo, el 31 de agosto se adelantó el Comité de Gestión y Desempeño MIPG. Del mismo modo, se revisó, diligenció y registróinformación y evidencias del Índice institucional de Participación ciudadana- IIPC que media gestión de la SJD entre el II semestre 2022 y I semestre 2023 y enviada el 14 de agosto de 2023. Por otro lado, se adelantó el diligenciamiento de las preguntas del nuevo Índice de Gobierno Abierto- IGAB 2021 y 2022 y finalmente se cargó el 31/08/2023 toda esta información en el repositorio destinado por parte de la Secretaría General para la correspondiente revisión.
Indicadores: Durante el mes de agosto, se recibió capacitación del módulo de indicadores, se llevó a cabo asesorías, revisión, devolución y validación comparativa de los indicadores registrados en el POA para su correcta aprobación en módulo de indicadores en el aplicativo SMART, además se están adelantando ajustes en SMART frente programación y ejecución de avance de indicadores con el fin de que estos dos instrumentos estén uniformes y no existan diferencias entre ellos y finalmente se elaboró y publicó en página web, tablero de indicadores correspondiente al mes de julio.
Senda de Integridad: Con respecto a formulación e implementación de las acciones relacionadas con la Estrategia Senda de Integridad se llevó a cabo el Reto No.2 “Carta de un Senderista” dirigida a la ciudadanía, la cual cuenta algunos logros y lecciones aprendidas durante la actual administración, así mismo se publicó en redes sociales (Facebook, Twitter, Instagram, Threads, página web) y finalmente se cargó en el aplicativo SOY 10 el 18 de agosto para dar cumplimento total a este reto, de igual forma se participó de los lineamientos dados por parte de la Secretaría General respecto al Reto No.3 “Bitácora”, que básicamente es documentar la historia de la experiencia frente a la participación de  SJD en Senda De Integridad desde el 2021 a 2023.
Planes de mejoramiento: En cuanto a los planes de mejoramiento de la entidad la OAP adelantó gestiones tales como asesorías para registró de planes de mejoramiento SMART producto de auditorías de gestión realizadas a TICS y Gestión Contractual.
Así mismo se realizaron gestiones internas de reasignación de notificación de auditor OCI a 23 planes, reasignación de notificación de responsable de actividad de 2 planes, se adelantó revisión y aprobación de avance de 34 planes, aprobación de 15 nuevos planes, devolución de avance de 3 planes.
Gestión Ambiental: Al 31 de agosto de 2023 el avance en la implementación del Plan de Acción PIGA 2023 es de 66%. El avance de los programas PIGA a la fecha es: ahorro y uso eficiente del agua (62,5%), ahorro y uso eficiente de la energía (77,7%), gestión integral de residuos sólidos: (56,52%), consumo sostenible (69,23%), implementación de prácticas sostenibles (70%). El Sistema de Gestión Ambiental cuenta con un porcentaje de implementación del Plan de Acción Interno para el manejo y aprovechamiento de residuos sólidos –PAI de 64,4%.
Plan de comunicaciones: Durante el mes de agosto se realizó una pieza comunicacional y video para la divulgación de LegalBog App a las instituciones universitarias, se enviaron dos correos el 10-08-2023 y 31-08-2023 con información de la App. Se recibió respuesta de la universidad Externado de Colombia. Se actualizó base de datos de las universidades y estudiantes de derecho. Así mismo,,se diseñaron piezas comunicacionales para las distintas dependencias de la Entidad y distintos asuntos; y se verificó el lenguaje claro de la encuesta página web 2023.
Gestión documental: Frente al compromiso de implementar el programa 2311520-PG-006 Programa Normalización Formas Formularios, durante el mes de agosto de 2023 se llevaron a cabo actividades de generación del formato de Certificaciones Laborales con funciones y la historia laboral para los funcionarios de planta; generación de los formatos para la expedición y notificación de los actos administrativos generados desde la Dirección de gestión Corporativa; se logró la generación electrónica del certificado de Paz y Salvo de Funcionarios y Contratistas de la entidad; se generó el reporte de certificaciones laborales expedidas durante el mes de agosto de 2023; se realizó la revisión detallada a la matriz de funciones de la entidad a fin de validar los cargos que a lo largo del tiempo han presentado cambios en sus funciones; se realizó revisión detallada al Sistema de información SIGA, validando que el 100% de las firmas digitales y mecánicas de los Directores y/o jefes de la Secretaría jurídica Distrital se encuentran debidamente parametrizadas; entre otras.</t>
  </si>
  <si>
    <t>Frente a la meta número 2, se lograron integrar 4 herramientas y metodologías de gestión en el mes de julio, logrando incrementar la satisfacción de las partes interesadas. Durante el mes de agosto se presentaron avances en los siguientes:
Laboratorio de simplicidad del portafolio de productos y servicios: Se elaboró un informe del laboratorio de simplicidad del Portafolio de Productos y Servicios con actividades ejecutadas al 31 de julio de 2023, el cual fue soporte para el reporte del PAAC del segundo cuatrimestre de 2023. Dicho informe resume las gestiones adelantadas al interior de la Oficina Asesora de Planeación para traducir al menos tres productos y/o servicios del Portafolio de la Entidad en lenguaje claro. Dicho laboratorio, se desarrolló a través de actividades de co-creación con usuarios internos y externos de la Entidad, en las cuales se les involucró para tomar decisiones frente a los cambios generados, considerando ejercicios de consulta ciudadana, mesas de trabajo y un grupo focal en el que se ejecutó un test para medir el nivel de conocimiento y apropiación del Portafolio y una actividad denominada: Lluvia de ideas.  
Informe de seguimiento a plan de acción: Con el fin de apoyar la revisión y consolidación de información del Plan Operativo Anual de Inversión de la Entidad, se llevó a cabo la revisión y retroalimentación de los reportes del mes de julio, de las dependencias encargadas de ejecutar las metas de los proyectos de inversión del Plan Distrital de Desarrollo PDD. Al respecto y con el fin de acompañar el proceso, se realizaron ejercicios de retroalimentación necesaria para lograr información clara y oportuna. De otro lado, se elaboró una presentación con el avance de las metas de los cuatro proyectos del PDD con corte al 31 de julio de 2023, la cual fue socializada en el Comité MIPG del mes de agosto y en el Subcomité de Autocontrol de la Oficina Asesora de Planeación.
Sistema de Gestión de Calidad: Se realizó seguimiento y aprobación de las solicitudes de eliminación, creación y actualización de la documentación necesaria para el Sistema Integrado de Gestión, en total  20 flujos de trabajo de las cuales 9 son nuevas solicitudes. Teniendo en cuenta el autocontrol en cada proceso y las actividades que aportan a la mejora Continua del sistema de gestión los procesos de la SJD realizan sus aportes en cuanto a la actualización documental, publicación de documentos por procesos contando con 8 documentos actualizados.
Actualización del Normograma: Los procesos solicitaron la actualización de cuatro de sus normogramas, dichas solicitudes fueron atendidas por la Oficina Asesora de Planeación y fueron actualizadas en el aplicativo SMART con el fin de contar con los requisitos legales que aplican por proceso vigentes.</t>
  </si>
  <si>
    <t>Para la meta número 3 del proyecto de inversión, se programó un total de 2 instrumentos de apropiación para los temas estratégicos y desafíos institucionales por parte de los servidores. Los instrumentos son: Plan Anticorrupción y de Atención al Ciudadano 2023 y la Estrategia de Apropiación del Sistema de Gestión de Calidad, los cuales fueron ejecutados durante el mes de agosto.
Plan Anticorrupción y de Atención al Ciudadano: En cumplimiento de las actividades descritas en el PAAC, se solicitó el reporte de avance y/o cumplimiento de las actividades para el segundo cuatrimestre, compartiendo la matriz para su diligenciamiento. Además, se diligenció la matriz de requisitos del Índice de Transparencia y Acceso a la Información (ITA), solicitada por la Procuraduría. Se adelantó la revisión de algunos links de la página web, los cuales han requerido ajuste y se ha solicitado la corrección de los mismos y se gestionó la publicación de diferentes documentos y piezas comunicacionales en la página Web, boletín y/o correo electrónico como: Los resultados de los temas de diálogos ciudadanos en la página Web y en la intranet.  Descripción detallada de los trámite en la página web. Encuesta Página web. Mapa de riesgos de gestión V.3. Pieza comunicacional Contraseña robusta. Pieza comunicacional Gobernanza
Riesgos de Corrupción y Gestión: Se solicitó el segundo monitoreo de los riesgos de gestión y de corrupción, adelantando el consolidado de los mapas de riesgos para su posterior publicación. Además, se hizo acompañamiento a los procesos de Gestión Disciplinaria Distrital, Control Interno Disciplinario, Gestión TIC (3, 9 de agosto), Atención a la ciudadanía (10 de agosto), Doctrina (18 de agosto), Administrativa (24 de agosto), Gestión Financiera, Gestión de las Comunicaciones, Gestión Judicial y Extrajudicial, IVC-ESAL en el ejercicio de monitoreo de los riesgos de gestión y de corrupción, en cumplimiento de segundo monitoreo. Se reportaron y gestionaron algunas fallas que se generaron durante el monitoreo de los riesgos en el sistema Smart. Se atendieron y reportaron solicitudes de los procesos de Gestión de las comunicaciones, Notificaciones, Gestión Normativa y Conceptual, en relación a los incidentes presentados con el monitoreo, además se efectuó reunión con la firma ITS (14 y 25 de agosto) para dar a conocer las fallas presentadas y atender las indicaciones al respecto.
Estrategia de Apropiación del Sistema de Gestión de Calidad: Para el mes de agosto, la Oficina Asesora de Planeación preparó y lideró el gestor de calidad, el cual fue realizado el 30 de agosto en donde se realizó la preparación de auditoría externa de calidad a los procesos de la Secretaría Jurídica Distrital, en dicho espacio se revisaron los requisitos aplicables y como dan cumplimiento a los numeral de la norma ISO 9001:2015. Además se presentaron los resultados de la auditoría interna sobre el Sistema de Gestión Ambiental y los planes de mejoramiento derivados de la misma. También se presentaron recomendaciones frente al seguimiento del plan de sostenibilidad del Modelo Integrado de Planeación y Gestión, planes de mejoramiento e indicadores.</t>
  </si>
  <si>
    <t xml:space="preserve">Durante el mes de agosto se brindó soporte técnico en sitio, actualización y mantenimiento para los siguientes sistemas de información misionales que se encuentran en operación en la Secretaría Jurídica Distrital:
• Sistema de Información de Procesos Judiciales - SIPROJ: 35 requerimientos atendidos
• Sistema de Información de Personas Jurídicas – SIPEJ: 35 requerimientos atendidos
• Sistema de Información Disciplinario - SID: 6 requerimientos atendidos
• Sistema Régimen Legal de Bogotá: 6 requerimientos atendidos.
Así mismo, se prestó apoyo y soporte al sistema información para los módulos de Doctrina (Actos Administrativos), Política (Agenda Regulatoria) del sistema de información LegalBog para flujo de trabajo de publicación de los actos administrativos y agenda regulatoria respectivamente. Se solucionaron las solicitudes de soporte que llegaron a correo electrónico soportelegalbog@secretariajuridica.gov.co de manera eficaz y eficiente logrando un óptimo uso del sistema de información.  </t>
  </si>
  <si>
    <t>En el mes de agosto se revisaron las políticas de seguridad del dispositivo de seguridad perimetral WAF (Web Aplication Firewall) con el fin de afinar bloqueos de falsos positivos que puedan interrumpir las labores de operación de usuarios internos y externos, se desarrollaron todas las tareas necesarias para ubicar los backups históricos de abril a Julio del 2023 de todas las bases de datos de la entidad, se actualizaron los contenidos de la página web, se generaron opciones para refuerzo de la seguridad de la página, se implementó la política de seguridad de contenido a través de navegadores, encabezados de respuesta HTTP, se realizaron nuevos desarrollos en el sistema de gestión documental SIGA que permiten incrementar el nivel de cumplimiento en la matriz de requisitos de SGDEA, donde se generó una nueva funcionalidad a través de un botón en el proceso de gestión y reparto de las comunicaciones y otra funcionalidad que permite a los usuarios suspender temporalmente un flujo para poder atender a otro trabajo y reanudarlo más tarde. Adicionalmente, se brindó soporte técnico y se atendieron todos los requerimientos de los usuarios para los diferentes aplicativos que se manejan en la entidad.</t>
  </si>
  <si>
    <t>No se reporta ejecución en esta meta debido a que aún no se ha contratado el Oficial de Seguridad de la Información, quien es el líder de la Política de Seguridad Digital.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</si>
</sst>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quot;$&quot;#,##0.00"/>
    <numFmt numFmtId="165" formatCode="0.0%"/>
    <numFmt numFmtId="166" formatCode="0.0"/>
    <numFmt numFmtId="167" formatCode="0.000"/>
    <numFmt numFmtId="168" formatCode="#,##0.000"/>
    <numFmt numFmtId="169" formatCode="#,##0.0"/>
  </numFmts>
  <fonts count="53" x14ac:knownFonts="1">
    <font>
      <sz val="11"/>
      <color theme="1"/>
      <name val="Calibri"/>
      <family val="2"/>
      <scheme val="minor"/>
    </font>
    <font>
      <sz val="11"/>
      <color theme="1"/>
      <name val="Calibri"/>
      <family val="2"/>
      <scheme val="minor"/>
    </font>
    <font>
      <sz val="10"/>
      <name val="Century Gothic"/>
      <family val="2"/>
    </font>
    <font>
      <sz val="9"/>
      <color theme="1"/>
      <name val="Century Gothic"/>
      <family val="2"/>
    </font>
    <font>
      <sz val="8"/>
      <color theme="1"/>
      <name val="Century Gothic"/>
      <family val="2"/>
    </font>
    <font>
      <sz val="8"/>
      <name val="Century Gothic"/>
      <family val="2"/>
    </font>
    <font>
      <sz val="10"/>
      <name val="Arial"/>
      <family val="2"/>
    </font>
    <font>
      <b/>
      <sz val="8"/>
      <color rgb="FF434343"/>
      <name val="Century Gothic"/>
      <family val="2"/>
    </font>
    <font>
      <sz val="11"/>
      <color theme="1"/>
      <name val="Century Gothic"/>
      <family val="2"/>
    </font>
    <font>
      <sz val="14"/>
      <color theme="1"/>
      <name val="Century Gothic"/>
      <family val="2"/>
    </font>
    <font>
      <b/>
      <sz val="16"/>
      <color theme="1"/>
      <name val="Century Gothic"/>
      <family val="2"/>
    </font>
    <font>
      <b/>
      <sz val="8"/>
      <color theme="1"/>
      <name val="Century Gothic"/>
      <family val="2"/>
    </font>
    <font>
      <b/>
      <sz val="11"/>
      <color theme="1"/>
      <name val="Century Gothic"/>
      <family val="2"/>
    </font>
    <font>
      <b/>
      <sz val="14"/>
      <color theme="1"/>
      <name val="Century Gothic"/>
      <family val="2"/>
    </font>
    <font>
      <sz val="8"/>
      <color theme="1"/>
      <name val="Arial"/>
      <family val="2"/>
    </font>
    <font>
      <b/>
      <sz val="12"/>
      <color theme="0"/>
      <name val="Arial"/>
      <family val="2"/>
    </font>
    <font>
      <b/>
      <sz val="18"/>
      <color rgb="FFFFFF00"/>
      <name val="Arial"/>
      <family val="2"/>
    </font>
    <font>
      <b/>
      <sz val="11"/>
      <color theme="1"/>
      <name val="Arial"/>
      <family val="2"/>
    </font>
    <font>
      <b/>
      <sz val="14"/>
      <color theme="3" tint="-0.249977111117893"/>
      <name val="Century Gothic"/>
      <family val="2"/>
    </font>
    <font>
      <b/>
      <sz val="14"/>
      <name val="Century Gothic"/>
      <family val="2"/>
    </font>
    <font>
      <sz val="15"/>
      <color theme="1"/>
      <name val="Century Gothic"/>
      <family val="2"/>
    </font>
    <font>
      <b/>
      <sz val="15"/>
      <color rgb="FFFFFF00"/>
      <name val="Century Gothic"/>
      <family val="2"/>
    </font>
    <font>
      <b/>
      <sz val="15"/>
      <color theme="1"/>
      <name val="Century Gothic"/>
      <family val="2"/>
    </font>
    <font>
      <sz val="15"/>
      <color rgb="FFFFFF00"/>
      <name val="Century Gothic"/>
      <family val="2"/>
    </font>
    <font>
      <b/>
      <sz val="9"/>
      <color indexed="81"/>
      <name val="Tahoma"/>
      <family val="2"/>
    </font>
    <font>
      <sz val="9"/>
      <color indexed="81"/>
      <name val="Tahoma"/>
      <family val="2"/>
    </font>
    <font>
      <b/>
      <sz val="8"/>
      <color theme="0"/>
      <name val="Century Gothic"/>
      <family val="2"/>
    </font>
    <font>
      <b/>
      <sz val="11"/>
      <color theme="1"/>
      <name val="Calibri"/>
      <family val="2"/>
      <scheme val="minor"/>
    </font>
    <font>
      <b/>
      <sz val="14"/>
      <color rgb="FFFFFF00"/>
      <name val="Century Gothic"/>
      <family val="2"/>
    </font>
    <font>
      <sz val="8"/>
      <name val="Calibri"/>
      <family val="2"/>
      <scheme val="minor"/>
    </font>
    <font>
      <b/>
      <sz val="15"/>
      <color rgb="FFFF0000"/>
      <name val="Century Gothic"/>
      <family val="2"/>
    </font>
    <font>
      <b/>
      <sz val="12"/>
      <color rgb="FFFFFF00"/>
      <name val="Century Gothic"/>
      <family val="2"/>
    </font>
    <font>
      <sz val="16"/>
      <color theme="1"/>
      <name val="Calibri"/>
      <family val="2"/>
      <scheme val="minor"/>
    </font>
    <font>
      <b/>
      <shadow/>
      <sz val="24"/>
      <color rgb="FFFF0000"/>
      <name val="Calibri"/>
      <family val="2"/>
      <scheme val="minor"/>
    </font>
    <font>
      <b/>
      <sz val="18"/>
      <color theme="1"/>
      <name val="Century Gothic"/>
      <family val="2"/>
    </font>
    <font>
      <b/>
      <sz val="28"/>
      <color theme="0"/>
      <name val="Calibri"/>
      <family val="2"/>
      <scheme val="minor"/>
    </font>
    <font>
      <b/>
      <sz val="28"/>
      <color theme="1"/>
      <name val="Calibri"/>
      <family val="2"/>
      <scheme val="minor"/>
    </font>
    <font>
      <sz val="8"/>
      <color theme="0"/>
      <name val="Century Gothic"/>
      <family val="2"/>
    </font>
    <font>
      <sz val="9"/>
      <name val="Century Gothic"/>
      <family val="2"/>
    </font>
    <font>
      <sz val="9"/>
      <color rgb="FF002060"/>
      <name val="Century Gothic"/>
      <family val="2"/>
    </font>
    <font>
      <b/>
      <sz val="15"/>
      <color theme="3" tint="-0.249977111117893"/>
      <name val="Century Gothic"/>
      <family val="2"/>
    </font>
    <font>
      <sz val="8"/>
      <color theme="1"/>
      <name val="Calibri"/>
      <family val="2"/>
      <scheme val="minor"/>
    </font>
    <font>
      <sz val="8"/>
      <color rgb="FFFF0000"/>
      <name val="Century Gothic"/>
      <family val="2"/>
    </font>
    <font>
      <sz val="9"/>
      <color theme="1"/>
      <name val="Calibri"/>
      <family val="2"/>
      <scheme val="minor"/>
    </font>
    <font>
      <sz val="9"/>
      <color indexed="8"/>
      <name val="Calibri"/>
      <family val="2"/>
      <scheme val="minor"/>
    </font>
    <font>
      <sz val="11"/>
      <color rgb="FF002060"/>
      <name val="Roboto"/>
    </font>
    <font>
      <sz val="10"/>
      <color rgb="FF002060"/>
      <name val="Roboto"/>
    </font>
    <font>
      <sz val="11"/>
      <color rgb="FF002060"/>
      <name val="Calibri"/>
      <family val="2"/>
    </font>
    <font>
      <sz val="10"/>
      <color theme="1"/>
      <name val="Roboto"/>
    </font>
    <font>
      <i/>
      <sz val="10"/>
      <color theme="1"/>
      <name val="Roboto"/>
    </font>
    <font>
      <b/>
      <sz val="10"/>
      <color theme="1"/>
      <name val="Roboto"/>
    </font>
    <font>
      <sz val="9"/>
      <color indexed="81"/>
      <name val="Tahoma"/>
      <charset val="1"/>
    </font>
    <font>
      <b/>
      <sz val="9"/>
      <color indexed="81"/>
      <name val="Tahoma"/>
      <charset val="1"/>
    </font>
  </fonts>
  <fills count="53">
    <fill>
      <patternFill patternType="none"/>
    </fill>
    <fill>
      <patternFill patternType="gray125"/>
    </fill>
    <fill>
      <patternFill patternType="solid">
        <fgColor rgb="FFC00000"/>
        <bgColor indexed="64"/>
      </patternFill>
    </fill>
    <fill>
      <patternFill patternType="solid">
        <fgColor theme="4" tint="0.79998168889431442"/>
        <bgColor indexed="64"/>
      </patternFill>
    </fill>
    <fill>
      <patternFill patternType="solid">
        <fgColor theme="0"/>
        <bgColor indexed="64"/>
      </patternFill>
    </fill>
    <fill>
      <patternFill patternType="solid">
        <fgColor rgb="FF99CCFF"/>
        <bgColor indexed="64"/>
      </patternFill>
    </fill>
    <fill>
      <patternFill patternType="solid">
        <fgColor theme="9" tint="0.79998168889431442"/>
        <bgColor indexed="64"/>
      </patternFill>
    </fill>
    <fill>
      <patternFill patternType="solid">
        <fgColor rgb="FFFF9999"/>
        <bgColor indexed="64"/>
      </patternFill>
    </fill>
    <fill>
      <patternFill patternType="solid">
        <fgColor rgb="FFFFFF00"/>
        <bgColor indexed="64"/>
      </patternFill>
    </fill>
    <fill>
      <patternFill patternType="solid">
        <fgColor theme="4" tint="-0.499984740745262"/>
        <bgColor auto="1"/>
      </patternFill>
    </fill>
    <fill>
      <patternFill patternType="solid">
        <fgColor theme="4" tint="-0.499984740745262"/>
        <bgColor indexed="64"/>
      </patternFill>
    </fill>
    <fill>
      <patternFill patternType="solid">
        <fgColor theme="9" tint="0.39997558519241921"/>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rgb="FF92D050"/>
        <bgColor indexed="64"/>
      </patternFill>
    </fill>
    <fill>
      <patternFill patternType="solid">
        <fgColor rgb="FFFFFF99"/>
        <bgColor indexed="64"/>
      </patternFill>
    </fill>
    <fill>
      <gradientFill degree="270">
        <stop position="0">
          <color theme="0"/>
        </stop>
        <stop position="1">
          <color theme="4" tint="0.80001220740379042"/>
        </stop>
      </gradientFill>
    </fill>
    <fill>
      <patternFill patternType="solid">
        <fgColor theme="7" tint="0.79998168889431442"/>
        <bgColor indexed="64"/>
      </patternFill>
    </fill>
    <fill>
      <patternFill patternType="solid">
        <fgColor rgb="FFFF0000"/>
        <bgColor indexed="64"/>
      </patternFill>
    </fill>
    <fill>
      <patternFill patternType="solid">
        <fgColor rgb="FFF274EC"/>
        <bgColor indexed="64"/>
      </patternFill>
    </fill>
    <fill>
      <patternFill patternType="solid">
        <fgColor theme="3"/>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7"/>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theme="5"/>
        <bgColor indexed="64"/>
      </patternFill>
    </fill>
    <fill>
      <patternFill patternType="solid">
        <fgColor theme="7" tint="-0.249977111117893"/>
        <bgColor indexed="64"/>
      </patternFill>
    </fill>
    <fill>
      <patternFill patternType="solid">
        <fgColor theme="8" tint="0.59999389629810485"/>
        <bgColor indexed="64"/>
      </patternFill>
    </fill>
    <fill>
      <patternFill patternType="solid">
        <fgColor theme="6"/>
        <bgColor indexed="64"/>
      </patternFill>
    </fill>
    <fill>
      <patternFill patternType="solid">
        <fgColor theme="6" tint="0.79998168889431442"/>
        <bgColor indexed="64"/>
      </patternFill>
    </fill>
    <fill>
      <patternFill patternType="solid">
        <fgColor theme="8"/>
        <bgColor indexed="64"/>
      </patternFill>
    </fill>
    <fill>
      <patternFill patternType="solid">
        <fgColor theme="4" tint="0.79998168889431442"/>
        <bgColor theme="4" tint="0.79998168889431442"/>
      </patternFill>
    </fill>
    <fill>
      <patternFill patternType="solid">
        <fgColor rgb="FFFAC6F8"/>
        <bgColor indexed="64"/>
      </patternFill>
    </fill>
    <fill>
      <patternFill patternType="solid">
        <fgColor rgb="FF00B050"/>
        <bgColor indexed="64"/>
      </patternFill>
    </fill>
    <fill>
      <patternFill patternType="solid">
        <fgColor rgb="FFF3822D"/>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2"/>
        <bgColor indexed="64"/>
      </patternFill>
    </fill>
    <fill>
      <patternFill patternType="solid">
        <fgColor theme="2" tint="-9.9978637043366805E-2"/>
        <bgColor indexed="64"/>
      </patternFill>
    </fill>
    <fill>
      <patternFill patternType="solid">
        <fgColor rgb="FFF60000"/>
        <bgColor indexed="64"/>
      </patternFill>
    </fill>
    <fill>
      <patternFill patternType="solid">
        <fgColor rgb="FFFFC000"/>
        <bgColor indexed="64"/>
      </patternFill>
    </fill>
    <fill>
      <patternFill patternType="solid">
        <fgColor rgb="FFFF0000"/>
        <bgColor theme="4" tint="0.79998168889431442"/>
      </patternFill>
    </fill>
    <fill>
      <patternFill patternType="solid">
        <fgColor indexed="9"/>
      </patternFill>
    </fill>
    <fill>
      <patternFill patternType="solid">
        <fgColor rgb="FFFF0000"/>
      </patternFill>
    </fill>
    <fill>
      <patternFill patternType="solid">
        <fgColor rgb="FFD9E2F3"/>
        <bgColor rgb="FFD9E2F3"/>
      </patternFill>
    </fill>
    <fill>
      <patternFill patternType="solid">
        <fgColor rgb="FFFF0000"/>
        <bgColor rgb="FFD9E2F3"/>
      </patternFill>
    </fill>
    <fill>
      <patternFill patternType="solid">
        <fgColor rgb="FFFF5757"/>
        <bgColor indexed="64"/>
      </patternFill>
    </fill>
    <fill>
      <patternFill patternType="solid">
        <fgColor rgb="FFF60000"/>
        <bgColor rgb="FFD9E2F3"/>
      </patternFill>
    </fill>
    <fill>
      <patternFill patternType="solid">
        <fgColor theme="4" tint="0.59999389629810485"/>
        <bgColor indexed="64"/>
      </patternFill>
    </fill>
  </fills>
  <borders count="94">
    <border>
      <left/>
      <right/>
      <top/>
      <bottom/>
      <diagonal/>
    </border>
    <border>
      <left style="thin">
        <color rgb="FF000000"/>
      </left>
      <right style="thin">
        <color rgb="FF000000"/>
      </right>
      <top style="thin">
        <color rgb="FF000000"/>
      </top>
      <bottom/>
      <diagonal/>
    </border>
    <border>
      <left style="medium">
        <color rgb="FFD60093"/>
      </left>
      <right/>
      <top style="medium">
        <color rgb="FFD60093"/>
      </top>
      <bottom/>
      <diagonal/>
    </border>
    <border>
      <left/>
      <right/>
      <top style="medium">
        <color rgb="FFD60093"/>
      </top>
      <bottom/>
      <diagonal/>
    </border>
    <border>
      <left/>
      <right style="medium">
        <color rgb="FFD60093"/>
      </right>
      <top style="medium">
        <color rgb="FFD60093"/>
      </top>
      <bottom/>
      <diagonal/>
    </border>
    <border>
      <left style="medium">
        <color rgb="FFD60093"/>
      </left>
      <right/>
      <top/>
      <bottom/>
      <diagonal/>
    </border>
    <border>
      <left style="medium">
        <color auto="1"/>
      </left>
      <right style="medium">
        <color auto="1"/>
      </right>
      <top style="medium">
        <color auto="1"/>
      </top>
      <bottom style="medium">
        <color auto="1"/>
      </bottom>
      <diagonal/>
    </border>
    <border>
      <left/>
      <right style="medium">
        <color rgb="FFD60093"/>
      </right>
      <top/>
      <bottom/>
      <diagonal/>
    </border>
    <border>
      <left style="medium">
        <color rgb="FFD60093"/>
      </left>
      <right/>
      <top/>
      <bottom style="medium">
        <color rgb="FFD60093"/>
      </bottom>
      <diagonal/>
    </border>
    <border>
      <left/>
      <right/>
      <top/>
      <bottom style="medium">
        <color rgb="FFD60093"/>
      </bottom>
      <diagonal/>
    </border>
    <border>
      <left/>
      <right style="medium">
        <color rgb="FFD60093"/>
      </right>
      <top/>
      <bottom style="medium">
        <color rgb="FFD60093"/>
      </bottom>
      <diagonal/>
    </border>
    <border>
      <left style="medium">
        <color rgb="FF00B0F0"/>
      </left>
      <right/>
      <top style="medium">
        <color rgb="FF00B0F0"/>
      </top>
      <bottom/>
      <diagonal/>
    </border>
    <border>
      <left/>
      <right/>
      <top style="medium">
        <color rgb="FF00B0F0"/>
      </top>
      <bottom/>
      <diagonal/>
    </border>
    <border>
      <left/>
      <right style="medium">
        <color rgb="FF00B0F0"/>
      </right>
      <top style="medium">
        <color rgb="FF00B0F0"/>
      </top>
      <bottom/>
      <diagonal/>
    </border>
    <border>
      <left style="medium">
        <color rgb="FF00B0F0"/>
      </left>
      <right/>
      <top/>
      <bottom/>
      <diagonal/>
    </border>
    <border>
      <left/>
      <right style="medium">
        <color rgb="FF00B0F0"/>
      </right>
      <top/>
      <bottom/>
      <diagonal/>
    </border>
    <border>
      <left style="medium">
        <color rgb="FF00B0F0"/>
      </left>
      <right/>
      <top/>
      <bottom style="medium">
        <color rgb="FF00B0F0"/>
      </bottom>
      <diagonal/>
    </border>
    <border>
      <left/>
      <right/>
      <top/>
      <bottom style="medium">
        <color rgb="FF00B0F0"/>
      </bottom>
      <diagonal/>
    </border>
    <border>
      <left/>
      <right style="medium">
        <color rgb="FF00B0F0"/>
      </right>
      <top/>
      <bottom style="medium">
        <color rgb="FF00B0F0"/>
      </bottom>
      <diagonal/>
    </border>
    <border>
      <left style="medium">
        <color rgb="FF08DEB5"/>
      </left>
      <right/>
      <top style="medium">
        <color rgb="FF08DEB5"/>
      </top>
      <bottom/>
      <diagonal/>
    </border>
    <border>
      <left/>
      <right/>
      <top style="medium">
        <color rgb="FF08DEB5"/>
      </top>
      <bottom/>
      <diagonal/>
    </border>
    <border>
      <left/>
      <right style="medium">
        <color rgb="FF08DEB5"/>
      </right>
      <top style="medium">
        <color rgb="FF08DEB5"/>
      </top>
      <bottom/>
      <diagonal/>
    </border>
    <border>
      <left style="medium">
        <color rgb="FF08DEB5"/>
      </left>
      <right/>
      <top/>
      <bottom/>
      <diagonal/>
    </border>
    <border>
      <left/>
      <right style="medium">
        <color rgb="FF08DEB5"/>
      </right>
      <top/>
      <bottom/>
      <diagonal/>
    </border>
    <border>
      <left style="medium">
        <color rgb="FF08DEB5"/>
      </left>
      <right/>
      <top/>
      <bottom style="medium">
        <color rgb="FF08DEB5"/>
      </bottom>
      <diagonal/>
    </border>
    <border>
      <left/>
      <right/>
      <top/>
      <bottom style="medium">
        <color rgb="FF08DEB5"/>
      </bottom>
      <diagonal/>
    </border>
    <border>
      <left/>
      <right style="medium">
        <color rgb="FF08DEB5"/>
      </right>
      <top/>
      <bottom style="medium">
        <color rgb="FF08DEB5"/>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diagonal/>
    </border>
    <border>
      <left/>
      <right style="medium">
        <color rgb="FFC00000"/>
      </right>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auto="1"/>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hair">
        <color auto="1"/>
      </left>
      <right style="dotted">
        <color auto="1"/>
      </right>
      <top style="hair">
        <color auto="1"/>
      </top>
      <bottom style="hair">
        <color auto="1"/>
      </bottom>
      <diagonal/>
    </border>
    <border>
      <left style="dotted">
        <color auto="1"/>
      </left>
      <right style="dotted">
        <color auto="1"/>
      </right>
      <top style="hair">
        <color auto="1"/>
      </top>
      <bottom style="hair">
        <color auto="1"/>
      </bottom>
      <diagonal/>
    </border>
    <border>
      <left style="dotted">
        <color auto="1"/>
      </left>
      <right style="hair">
        <color auto="1"/>
      </right>
      <top style="hair">
        <color auto="1"/>
      </top>
      <bottom style="hair">
        <color auto="1"/>
      </bottom>
      <diagonal/>
    </border>
    <border>
      <left style="medium">
        <color theme="3" tint="0.39991454817346722"/>
      </left>
      <right style="mediumDashed">
        <color theme="3" tint="0.39988402966399123"/>
      </right>
      <top style="medium">
        <color theme="3" tint="0.39991454817346722"/>
      </top>
      <bottom style="medium">
        <color theme="3" tint="0.39991454817346722"/>
      </bottom>
      <diagonal/>
    </border>
    <border>
      <left style="mediumDashed">
        <color theme="3" tint="0.39988402966399123"/>
      </left>
      <right style="medium">
        <color theme="3" tint="0.39991454817346722"/>
      </right>
      <top style="medium">
        <color theme="3" tint="0.39991454817346722"/>
      </top>
      <bottom style="medium">
        <color theme="3" tint="0.39991454817346722"/>
      </bottom>
      <diagonal/>
    </border>
    <border>
      <left/>
      <right/>
      <top/>
      <bottom style="medium">
        <color indexed="64"/>
      </bottom>
      <diagonal/>
    </border>
    <border>
      <left style="medium">
        <color theme="3" tint="0.39991454817346722"/>
      </left>
      <right style="mediumDashed">
        <color theme="3" tint="0.39988402966399123"/>
      </right>
      <top style="medium">
        <color theme="3" tint="0.39991454817346722"/>
      </top>
      <bottom/>
      <diagonal/>
    </border>
    <border>
      <left style="medium">
        <color theme="3" tint="0.39991454817346722"/>
      </left>
      <right style="mediumDashed">
        <color theme="3" tint="0.39988402966399123"/>
      </right>
      <top/>
      <bottom style="medium">
        <color theme="3" tint="0.39991454817346722"/>
      </bottom>
      <diagonal/>
    </border>
    <border>
      <left/>
      <right style="medium">
        <color theme="3" tint="0.39991454817346722"/>
      </right>
      <top/>
      <bottom/>
      <diagonal/>
    </border>
    <border>
      <left style="mediumDashed">
        <color theme="3" tint="0.39988402966399123"/>
      </left>
      <right style="medium">
        <color theme="3" tint="0.39991454817346722"/>
      </right>
      <top style="medium">
        <color theme="3" tint="0.39991454817346722"/>
      </top>
      <bottom/>
      <diagonal/>
    </border>
    <border>
      <left style="mediumDashed">
        <color theme="3" tint="0.39988402966399123"/>
      </left>
      <right style="medium">
        <color theme="3" tint="0.39991454817346722"/>
      </right>
      <top/>
      <bottom style="medium">
        <color theme="3" tint="0.39991454817346722"/>
      </bottom>
      <diagonal/>
    </border>
    <border>
      <left style="thin">
        <color indexed="64"/>
      </left>
      <right style="thin">
        <color indexed="64"/>
      </right>
      <top style="thin">
        <color indexed="64"/>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indexed="64"/>
      </left>
      <right/>
      <top style="thin">
        <color indexed="64"/>
      </top>
      <bottom/>
      <diagonal/>
    </border>
    <border>
      <left style="thin">
        <color theme="4" tint="0.39997558519241921"/>
      </left>
      <right/>
      <top style="thin">
        <color indexed="64"/>
      </top>
      <bottom/>
      <diagonal/>
    </border>
    <border>
      <left/>
      <right style="thin">
        <color theme="4" tint="0.39997558519241921"/>
      </right>
      <top style="thin">
        <color indexed="64"/>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indexed="64"/>
      </left>
      <right style="thin">
        <color indexed="64"/>
      </right>
      <top style="thin">
        <color indexed="64"/>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thin">
        <color theme="1"/>
      </left>
      <right style="thin">
        <color theme="1"/>
      </right>
      <top/>
      <bottom style="thin">
        <color theme="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s>
  <cellStyleXfs count="5">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6" fillId="0" borderId="0"/>
  </cellStyleXfs>
  <cellXfs count="596">
    <xf numFmtId="0" fontId="0" fillId="0" borderId="0" xfId="0"/>
    <xf numFmtId="0" fontId="0" fillId="0" borderId="0" xfId="0" applyAlignment="1">
      <alignment wrapText="1"/>
    </xf>
    <xf numFmtId="0" fontId="8" fillId="0" borderId="0" xfId="0" applyFont="1"/>
    <xf numFmtId="0" fontId="12" fillId="0" borderId="0" xfId="0" applyFont="1"/>
    <xf numFmtId="0" fontId="8" fillId="0" borderId="0" xfId="0" applyFont="1" applyAlignment="1">
      <alignment horizontal="center" vertical="center"/>
    </xf>
    <xf numFmtId="9" fontId="8" fillId="0" borderId="0" xfId="3" applyFont="1" applyAlignment="1">
      <alignment horizontal="center" vertical="center"/>
    </xf>
    <xf numFmtId="0" fontId="13" fillId="0" borderId="0" xfId="0" applyFont="1" applyAlignment="1">
      <alignment horizontal="center" vertical="center" wrapText="1"/>
    </xf>
    <xf numFmtId="9" fontId="13" fillId="0" borderId="0" xfId="3" applyFont="1" applyAlignment="1">
      <alignment horizontal="center" vertical="center" wrapText="1"/>
    </xf>
    <xf numFmtId="0" fontId="10" fillId="0" borderId="0" xfId="0" applyFont="1"/>
    <xf numFmtId="0" fontId="9" fillId="0" borderId="0" xfId="0" applyFont="1" applyAlignment="1">
      <alignment horizontal="center" vertical="center"/>
    </xf>
    <xf numFmtId="9" fontId="9" fillId="0" borderId="0" xfId="3" applyFont="1" applyBorder="1" applyAlignment="1">
      <alignment horizontal="center" vertical="center"/>
    </xf>
    <xf numFmtId="0" fontId="10" fillId="5" borderId="11" xfId="0" applyFont="1" applyFill="1" applyBorder="1"/>
    <xf numFmtId="0" fontId="9" fillId="5" borderId="12" xfId="0" applyFont="1" applyFill="1" applyBorder="1" applyAlignment="1">
      <alignment horizontal="center" vertical="center"/>
    </xf>
    <xf numFmtId="9" fontId="9" fillId="5" borderId="12" xfId="3" applyFont="1" applyFill="1" applyBorder="1" applyAlignment="1">
      <alignment horizontal="center" vertical="center"/>
    </xf>
    <xf numFmtId="0" fontId="8" fillId="5" borderId="13" xfId="0" applyFont="1" applyFill="1" applyBorder="1"/>
    <xf numFmtId="0" fontId="10" fillId="5" borderId="14" xfId="0" applyFont="1" applyFill="1" applyBorder="1"/>
    <xf numFmtId="0" fontId="9" fillId="5" borderId="0" xfId="0" applyFont="1" applyFill="1" applyAlignment="1">
      <alignment horizontal="center" vertical="center"/>
    </xf>
    <xf numFmtId="0" fontId="9" fillId="5" borderId="15" xfId="0" applyFont="1" applyFill="1" applyBorder="1" applyAlignment="1">
      <alignment horizontal="center" vertical="center"/>
    </xf>
    <xf numFmtId="9" fontId="9" fillId="5" borderId="0" xfId="3" applyFont="1" applyFill="1" applyBorder="1" applyAlignment="1">
      <alignment horizontal="center" vertical="center"/>
    </xf>
    <xf numFmtId="0" fontId="10" fillId="5" borderId="16" xfId="0" applyFont="1" applyFill="1" applyBorder="1"/>
    <xf numFmtId="0" fontId="9" fillId="5" borderId="17" xfId="0" applyFont="1" applyFill="1" applyBorder="1" applyAlignment="1">
      <alignment horizontal="center" vertical="center"/>
    </xf>
    <xf numFmtId="9" fontId="9" fillId="5" borderId="17" xfId="3" applyFont="1" applyFill="1" applyBorder="1" applyAlignment="1">
      <alignment horizontal="center" vertical="center"/>
    </xf>
    <xf numFmtId="0" fontId="9" fillId="5" borderId="18" xfId="0" applyFont="1" applyFill="1" applyBorder="1" applyAlignment="1">
      <alignment horizontal="center" vertical="center"/>
    </xf>
    <xf numFmtId="9" fontId="9" fillId="0" borderId="0" xfId="3" applyFont="1" applyAlignment="1">
      <alignment horizontal="center" vertical="center"/>
    </xf>
    <xf numFmtId="0" fontId="10" fillId="6" borderId="19" xfId="0" applyFont="1" applyFill="1" applyBorder="1"/>
    <xf numFmtId="0" fontId="9" fillId="6" borderId="20" xfId="0" applyFont="1" applyFill="1" applyBorder="1" applyAlignment="1">
      <alignment horizontal="center" vertical="center"/>
    </xf>
    <xf numFmtId="9" fontId="9" fillId="6" borderId="20" xfId="3" applyFont="1" applyFill="1" applyBorder="1" applyAlignment="1">
      <alignment horizontal="center" vertical="center"/>
    </xf>
    <xf numFmtId="0" fontId="8" fillId="6" borderId="21" xfId="0" applyFont="1" applyFill="1" applyBorder="1"/>
    <xf numFmtId="0" fontId="10" fillId="6" borderId="22" xfId="0" applyFont="1" applyFill="1" applyBorder="1"/>
    <xf numFmtId="0" fontId="9" fillId="6" borderId="0" xfId="0" applyFont="1" applyFill="1" applyAlignment="1">
      <alignment horizontal="center" vertical="center"/>
    </xf>
    <xf numFmtId="0" fontId="8" fillId="6" borderId="23" xfId="0" applyFont="1" applyFill="1" applyBorder="1"/>
    <xf numFmtId="9" fontId="9" fillId="6" borderId="0" xfId="3" applyFont="1" applyFill="1" applyBorder="1" applyAlignment="1">
      <alignment horizontal="center" vertical="center"/>
    </xf>
    <xf numFmtId="0" fontId="10" fillId="6" borderId="24" xfId="0" applyFont="1" applyFill="1" applyBorder="1"/>
    <xf numFmtId="0" fontId="9" fillId="6" borderId="25" xfId="0" applyFont="1" applyFill="1" applyBorder="1" applyAlignment="1">
      <alignment horizontal="center" vertical="center"/>
    </xf>
    <xf numFmtId="9" fontId="9" fillId="6" borderId="25" xfId="3" applyFont="1" applyFill="1" applyBorder="1" applyAlignment="1">
      <alignment horizontal="center" vertical="center"/>
    </xf>
    <xf numFmtId="0" fontId="8" fillId="6" borderId="26" xfId="0" applyFont="1" applyFill="1" applyBorder="1"/>
    <xf numFmtId="0" fontId="10" fillId="7" borderId="27" xfId="0" applyFont="1" applyFill="1" applyBorder="1"/>
    <xf numFmtId="0" fontId="9" fillId="7" borderId="28" xfId="0" applyFont="1" applyFill="1" applyBorder="1" applyAlignment="1">
      <alignment horizontal="center" vertical="center"/>
    </xf>
    <xf numFmtId="9" fontId="9" fillId="7" borderId="28" xfId="3" applyFont="1" applyFill="1" applyBorder="1" applyAlignment="1">
      <alignment horizontal="center" vertical="center"/>
    </xf>
    <xf numFmtId="0" fontId="8" fillId="7" borderId="29" xfId="0" applyFont="1" applyFill="1" applyBorder="1"/>
    <xf numFmtId="0" fontId="10" fillId="7" borderId="30" xfId="0" applyFont="1" applyFill="1" applyBorder="1"/>
    <xf numFmtId="0" fontId="9" fillId="7" borderId="0" xfId="0" applyFont="1" applyFill="1" applyAlignment="1">
      <alignment horizontal="center" vertical="center"/>
    </xf>
    <xf numFmtId="0" fontId="8" fillId="7" borderId="31" xfId="0" applyFont="1" applyFill="1" applyBorder="1"/>
    <xf numFmtId="9" fontId="9" fillId="7" borderId="0" xfId="3" applyFont="1" applyFill="1" applyBorder="1" applyAlignment="1">
      <alignment horizontal="center" vertical="center"/>
    </xf>
    <xf numFmtId="0" fontId="10" fillId="7" borderId="32" xfId="0" applyFont="1" applyFill="1" applyBorder="1"/>
    <xf numFmtId="0" fontId="8" fillId="7" borderId="33" xfId="0" applyFont="1" applyFill="1" applyBorder="1" applyAlignment="1">
      <alignment horizontal="center" vertical="center"/>
    </xf>
    <xf numFmtId="9" fontId="8" fillId="7" borderId="33" xfId="3" applyFont="1" applyFill="1" applyBorder="1" applyAlignment="1">
      <alignment horizontal="center" vertical="center"/>
    </xf>
    <xf numFmtId="0" fontId="8" fillId="7" borderId="34" xfId="0" applyFont="1" applyFill="1" applyBorder="1"/>
    <xf numFmtId="0" fontId="0" fillId="2" borderId="0" xfId="0" applyFill="1"/>
    <xf numFmtId="0" fontId="14" fillId="10" borderId="0" xfId="0" applyFont="1" applyFill="1"/>
    <xf numFmtId="0" fontId="13" fillId="9" borderId="37" xfId="0" applyFont="1" applyFill="1" applyBorder="1" applyAlignment="1">
      <alignment horizontal="left" vertical="center"/>
    </xf>
    <xf numFmtId="0" fontId="13" fillId="9" borderId="38" xfId="0" applyFont="1" applyFill="1" applyBorder="1" applyAlignment="1">
      <alignment horizontal="left" vertical="center"/>
    </xf>
    <xf numFmtId="0" fontId="9" fillId="9" borderId="0" xfId="0" applyFont="1" applyFill="1" applyAlignment="1">
      <alignment horizontal="left"/>
    </xf>
    <xf numFmtId="0" fontId="13" fillId="8" borderId="35" xfId="0" applyFont="1" applyFill="1" applyBorder="1" applyAlignment="1">
      <alignment vertical="center"/>
    </xf>
    <xf numFmtId="0" fontId="18" fillId="3" borderId="45" xfId="0" applyFont="1" applyFill="1" applyBorder="1" applyAlignment="1">
      <alignment vertical="center"/>
    </xf>
    <xf numFmtId="0" fontId="13" fillId="3" borderId="37" xfId="0" applyFont="1" applyFill="1" applyBorder="1" applyAlignment="1">
      <alignment vertical="center"/>
    </xf>
    <xf numFmtId="0" fontId="13" fillId="3" borderId="43" xfId="0" applyFont="1" applyFill="1" applyBorder="1" applyAlignment="1">
      <alignment vertical="center"/>
    </xf>
    <xf numFmtId="0" fontId="9" fillId="2" borderId="0" xfId="0" applyFont="1" applyFill="1"/>
    <xf numFmtId="0" fontId="20" fillId="10" borderId="0" xfId="0" applyFont="1" applyFill="1"/>
    <xf numFmtId="0" fontId="21" fillId="10" borderId="54" xfId="0" applyFont="1" applyFill="1" applyBorder="1" applyAlignment="1">
      <alignment horizontal="center" vertical="center" wrapText="1"/>
    </xf>
    <xf numFmtId="0" fontId="21" fillId="10" borderId="55" xfId="0" applyFont="1" applyFill="1" applyBorder="1" applyAlignment="1">
      <alignment horizontal="center" vertical="center" wrapText="1"/>
    </xf>
    <xf numFmtId="0" fontId="22" fillId="10" borderId="0" xfId="0" applyFont="1" applyFill="1" applyAlignment="1">
      <alignment vertical="center" wrapText="1"/>
    </xf>
    <xf numFmtId="0" fontId="23" fillId="10" borderId="0" xfId="0" applyFont="1" applyFill="1"/>
    <xf numFmtId="0" fontId="21" fillId="10" borderId="0" xfId="0" applyFont="1" applyFill="1" applyAlignment="1">
      <alignment horizontal="right" vertical="center"/>
    </xf>
    <xf numFmtId="0" fontId="23" fillId="10" borderId="54" xfId="3" applyNumberFormat="1" applyFont="1" applyFill="1" applyBorder="1" applyAlignment="1" applyProtection="1">
      <alignment horizontal="center" vertical="center"/>
    </xf>
    <xf numFmtId="1" fontId="23" fillId="10" borderId="55" xfId="3" applyNumberFormat="1" applyFont="1" applyFill="1" applyBorder="1" applyAlignment="1" applyProtection="1">
      <alignment horizontal="center" vertical="center"/>
    </xf>
    <xf numFmtId="0" fontId="21" fillId="10" borderId="0" xfId="0" applyFont="1" applyFill="1" applyAlignment="1">
      <alignment vertical="center"/>
    </xf>
    <xf numFmtId="0" fontId="21" fillId="10" borderId="0" xfId="0" applyFont="1" applyFill="1" applyAlignment="1">
      <alignment horizontal="center" vertical="center"/>
    </xf>
    <xf numFmtId="0" fontId="21" fillId="10" borderId="0" xfId="0" applyFont="1" applyFill="1" applyAlignment="1">
      <alignment vertical="center" wrapText="1"/>
    </xf>
    <xf numFmtId="0" fontId="23" fillId="10" borderId="0" xfId="0" applyFont="1" applyFill="1" applyAlignment="1">
      <alignment horizontal="center"/>
    </xf>
    <xf numFmtId="0" fontId="21" fillId="10" borderId="0" xfId="2" applyNumberFormat="1" applyFont="1" applyFill="1" applyBorder="1" applyAlignment="1" applyProtection="1">
      <alignment horizontal="center" vertical="center" wrapText="1"/>
    </xf>
    <xf numFmtId="0" fontId="11" fillId="4" borderId="62" xfId="0" applyFont="1" applyFill="1" applyBorder="1" applyAlignment="1">
      <alignment horizontal="center" vertical="center" wrapText="1"/>
    </xf>
    <xf numFmtId="0" fontId="11" fillId="19" borderId="62" xfId="0" applyFont="1" applyFill="1" applyBorder="1" applyAlignment="1">
      <alignment horizontal="center" vertical="center" wrapText="1"/>
    </xf>
    <xf numFmtId="9" fontId="4" fillId="0" borderId="63" xfId="0" applyNumberFormat="1" applyFont="1" applyBorder="1" applyAlignment="1">
      <alignment horizontal="center" vertical="center" wrapText="1"/>
    </xf>
    <xf numFmtId="0" fontId="4" fillId="0" borderId="63" xfId="0" applyFont="1" applyBorder="1" applyAlignment="1">
      <alignment horizontal="center" vertical="center" wrapText="1"/>
    </xf>
    <xf numFmtId="9" fontId="4" fillId="0" borderId="63" xfId="0" applyNumberFormat="1" applyFont="1" applyBorder="1" applyAlignment="1">
      <alignment horizontal="justify" vertical="center" wrapText="1"/>
    </xf>
    <xf numFmtId="0" fontId="3" fillId="0" borderId="0" xfId="0" applyFont="1" applyAlignment="1">
      <alignment wrapText="1"/>
    </xf>
    <xf numFmtId="0" fontId="4" fillId="0" borderId="0" xfId="0" applyFont="1" applyAlignment="1">
      <alignment horizontal="center" vertical="center" wrapText="1"/>
    </xf>
    <xf numFmtId="0" fontId="4" fillId="0" borderId="0" xfId="0" applyFont="1" applyAlignment="1">
      <alignment vertical="center" wrapText="1"/>
    </xf>
    <xf numFmtId="0" fontId="11" fillId="12" borderId="62" xfId="0" applyFont="1" applyFill="1" applyBorder="1" applyAlignment="1">
      <alignment horizontal="center" vertical="center" wrapText="1"/>
    </xf>
    <xf numFmtId="0" fontId="11" fillId="13" borderId="62" xfId="0" applyFont="1" applyFill="1" applyBorder="1" applyAlignment="1">
      <alignment horizontal="center" vertical="center" wrapText="1"/>
    </xf>
    <xf numFmtId="0" fontId="11" fillId="14" borderId="62" xfId="0" applyFont="1" applyFill="1" applyBorder="1" applyAlignment="1">
      <alignment horizontal="center" vertical="center" wrapText="1"/>
    </xf>
    <xf numFmtId="0" fontId="11" fillId="6" borderId="62" xfId="0" applyFont="1" applyFill="1" applyBorder="1" applyAlignment="1">
      <alignment horizontal="center" vertical="center" wrapText="1"/>
    </xf>
    <xf numFmtId="0" fontId="11" fillId="15" borderId="62" xfId="0" applyFont="1" applyFill="1" applyBorder="1" applyAlignment="1">
      <alignment horizontal="center" vertical="center" wrapText="1"/>
    </xf>
    <xf numFmtId="0" fontId="11" fillId="16" borderId="62" xfId="0" applyFont="1" applyFill="1" applyBorder="1" applyAlignment="1">
      <alignment horizontal="center" vertical="center" wrapText="1"/>
    </xf>
    <xf numFmtId="0" fontId="11" fillId="17" borderId="62" xfId="0" applyFont="1" applyFill="1" applyBorder="1" applyAlignment="1">
      <alignment horizontal="center" vertical="center" wrapText="1"/>
    </xf>
    <xf numFmtId="0" fontId="4" fillId="18" borderId="62" xfId="0" applyFont="1" applyFill="1" applyBorder="1" applyAlignment="1">
      <alignment horizontal="center" vertical="center" wrapText="1"/>
    </xf>
    <xf numFmtId="9" fontId="11" fillId="3" borderId="35" xfId="3" applyFont="1" applyFill="1" applyBorder="1" applyAlignment="1">
      <alignment horizontal="center" vertical="center" wrapText="1"/>
    </xf>
    <xf numFmtId="0" fontId="11" fillId="3" borderId="35" xfId="0" applyFont="1" applyFill="1" applyBorder="1" applyAlignment="1">
      <alignment horizontal="center" vertical="center" wrapText="1"/>
    </xf>
    <xf numFmtId="0" fontId="4" fillId="4" borderId="63" xfId="0" applyFont="1" applyFill="1" applyBorder="1" applyAlignment="1" applyProtection="1">
      <alignment horizontal="center" vertical="center" wrapText="1"/>
      <protection locked="0"/>
    </xf>
    <xf numFmtId="0" fontId="4" fillId="4" borderId="66" xfId="0" applyFont="1" applyFill="1" applyBorder="1" applyAlignment="1" applyProtection="1">
      <alignment horizontal="center" vertical="center" wrapText="1"/>
      <protection locked="0"/>
    </xf>
    <xf numFmtId="0" fontId="4" fillId="0" borderId="0" xfId="0" applyFont="1" applyAlignment="1">
      <alignment wrapText="1"/>
    </xf>
    <xf numFmtId="0" fontId="4" fillId="4" borderId="66" xfId="0" applyFont="1" applyFill="1" applyBorder="1" applyAlignment="1">
      <alignment horizontal="center" vertical="center" wrapText="1"/>
    </xf>
    <xf numFmtId="0" fontId="4" fillId="4" borderId="63" xfId="0" applyFont="1" applyFill="1" applyBorder="1" applyAlignment="1">
      <alignment horizontal="center" vertical="center" wrapText="1"/>
    </xf>
    <xf numFmtId="0" fontId="11" fillId="4" borderId="66" xfId="0" applyFont="1" applyFill="1" applyBorder="1" applyAlignment="1" applyProtection="1">
      <alignment horizontal="center" vertical="center" wrapText="1"/>
      <protection locked="0"/>
    </xf>
    <xf numFmtId="0" fontId="4" fillId="0" borderId="66" xfId="0" applyFont="1" applyBorder="1" applyAlignment="1">
      <alignment vertical="center" wrapText="1"/>
    </xf>
    <xf numFmtId="0" fontId="4" fillId="0" borderId="66" xfId="0" applyFont="1" applyBorder="1" applyAlignment="1">
      <alignment horizontal="center" vertical="center" wrapText="1"/>
    </xf>
    <xf numFmtId="0" fontId="5" fillId="4" borderId="35" xfId="4" applyFont="1" applyFill="1" applyBorder="1" applyAlignment="1">
      <alignment vertical="center" wrapText="1"/>
    </xf>
    <xf numFmtId="0" fontId="5" fillId="4" borderId="35" xfId="4" applyFont="1" applyFill="1" applyBorder="1" applyAlignment="1">
      <alignment horizontal="center" vertical="center" wrapText="1"/>
    </xf>
    <xf numFmtId="0" fontId="4" fillId="4" borderId="35" xfId="0" applyFont="1" applyFill="1" applyBorder="1" applyAlignment="1">
      <alignment vertical="center" wrapText="1"/>
    </xf>
    <xf numFmtId="0" fontId="4" fillId="4" borderId="35" xfId="0" applyFont="1" applyFill="1" applyBorder="1" applyAlignment="1">
      <alignment wrapText="1"/>
    </xf>
    <xf numFmtId="0" fontId="4" fillId="4" borderId="35" xfId="0" applyFont="1" applyFill="1" applyBorder="1" applyAlignment="1" applyProtection="1">
      <alignment horizontal="justify" vertical="center" wrapText="1"/>
      <protection locked="0"/>
    </xf>
    <xf numFmtId="0" fontId="4" fillId="0" borderId="35" xfId="0" applyFont="1" applyBorder="1" applyAlignment="1">
      <alignment horizontal="center" vertical="center" wrapText="1"/>
    </xf>
    <xf numFmtId="0" fontId="4" fillId="4" borderId="35" xfId="0" applyFont="1" applyFill="1" applyBorder="1" applyAlignment="1">
      <alignment horizontal="center" vertical="center" wrapText="1"/>
    </xf>
    <xf numFmtId="0" fontId="4" fillId="4" borderId="35" xfId="0" applyFont="1" applyFill="1" applyBorder="1" applyAlignment="1" applyProtection="1">
      <alignment vertical="center" wrapText="1"/>
      <protection locked="0"/>
    </xf>
    <xf numFmtId="1" fontId="4" fillId="4" borderId="35" xfId="0" applyNumberFormat="1" applyFont="1" applyFill="1" applyBorder="1" applyAlignment="1">
      <alignment horizontal="center" vertical="center" wrapText="1"/>
    </xf>
    <xf numFmtId="2" fontId="4" fillId="4" borderId="35" xfId="0" applyNumberFormat="1" applyFont="1" applyFill="1" applyBorder="1" applyAlignment="1">
      <alignment horizontal="center" vertical="center" wrapText="1"/>
    </xf>
    <xf numFmtId="0" fontId="4" fillId="0" borderId="35" xfId="0" applyFont="1" applyBorder="1" applyAlignment="1">
      <alignment vertical="center" wrapText="1"/>
    </xf>
    <xf numFmtId="1" fontId="4" fillId="0" borderId="0" xfId="0" applyNumberFormat="1" applyFont="1" applyAlignment="1">
      <alignment horizontal="justify" vertical="center" wrapText="1"/>
    </xf>
    <xf numFmtId="0" fontId="4" fillId="0" borderId="0" xfId="0" applyFont="1" applyAlignment="1">
      <alignment horizontal="center" wrapText="1"/>
    </xf>
    <xf numFmtId="1" fontId="4" fillId="0" borderId="0" xfId="0" applyNumberFormat="1" applyFont="1" applyAlignment="1">
      <alignment horizontal="center" vertical="center" wrapText="1"/>
    </xf>
    <xf numFmtId="0" fontId="4" fillId="4" borderId="0" xfId="0" applyFont="1" applyFill="1" applyAlignment="1">
      <alignment wrapText="1"/>
    </xf>
    <xf numFmtId="0" fontId="4" fillId="4" borderId="0" xfId="0" applyFont="1" applyFill="1" applyAlignment="1">
      <alignment vertical="center" wrapText="1"/>
    </xf>
    <xf numFmtId="0" fontId="4" fillId="0" borderId="0" xfId="0" applyFont="1" applyAlignment="1">
      <alignment horizontal="justify" vertical="center" wrapText="1"/>
    </xf>
    <xf numFmtId="0" fontId="7" fillId="0" borderId="0" xfId="0" applyFont="1" applyAlignment="1">
      <alignment vertical="center" wrapText="1"/>
    </xf>
    <xf numFmtId="167" fontId="4" fillId="0" borderId="0" xfId="0" applyNumberFormat="1" applyFont="1" applyAlignment="1">
      <alignment horizontal="center" vertical="center" wrapText="1"/>
    </xf>
    <xf numFmtId="43" fontId="4" fillId="4" borderId="0" xfId="1" applyFont="1" applyFill="1" applyAlignment="1">
      <alignment vertical="center" wrapText="1"/>
    </xf>
    <xf numFmtId="0" fontId="11" fillId="6" borderId="62" xfId="0" applyFont="1" applyFill="1" applyBorder="1" applyAlignment="1">
      <alignment horizontal="justify" vertical="center" wrapText="1"/>
    </xf>
    <xf numFmtId="1" fontId="4" fillId="4" borderId="35" xfId="0" applyNumberFormat="1" applyFont="1" applyFill="1" applyBorder="1" applyAlignment="1">
      <alignment horizontal="justify" vertical="center" wrapText="1"/>
    </xf>
    <xf numFmtId="1" fontId="4" fillId="4" borderId="35" xfId="0" applyNumberFormat="1" applyFont="1" applyFill="1" applyBorder="1" applyAlignment="1" applyProtection="1">
      <alignment horizontal="justify" vertical="center" wrapText="1"/>
      <protection locked="0"/>
    </xf>
    <xf numFmtId="0" fontId="0" fillId="0" borderId="35" xfId="0" applyBorder="1" applyAlignment="1">
      <alignment wrapText="1"/>
    </xf>
    <xf numFmtId="165" fontId="4" fillId="0" borderId="0" xfId="0" applyNumberFormat="1" applyFont="1" applyAlignment="1">
      <alignment horizontal="center" vertical="center" wrapText="1"/>
    </xf>
    <xf numFmtId="165" fontId="11" fillId="22" borderId="62" xfId="0" applyNumberFormat="1" applyFont="1" applyFill="1" applyBorder="1" applyAlignment="1">
      <alignment horizontal="center" vertical="center" wrapText="1"/>
    </xf>
    <xf numFmtId="165" fontId="4" fillId="0" borderId="63" xfId="3" applyNumberFormat="1" applyFont="1" applyFill="1" applyBorder="1" applyAlignment="1" applyProtection="1">
      <alignment horizontal="center" vertical="center" wrapText="1"/>
      <protection locked="0"/>
    </xf>
    <xf numFmtId="165" fontId="4" fillId="4" borderId="35" xfId="0" applyNumberFormat="1" applyFont="1" applyFill="1" applyBorder="1" applyAlignment="1">
      <alignment horizontal="center" vertical="center" wrapText="1"/>
    </xf>
    <xf numFmtId="165" fontId="26" fillId="23" borderId="62" xfId="0" applyNumberFormat="1" applyFont="1" applyFill="1" applyBorder="1" applyAlignment="1">
      <alignment horizontal="center" vertical="center" wrapText="1"/>
    </xf>
    <xf numFmtId="0" fontId="0" fillId="0" borderId="35" xfId="0" applyBorder="1"/>
    <xf numFmtId="165" fontId="0" fillId="0" borderId="35" xfId="0" applyNumberFormat="1" applyBorder="1" applyAlignment="1">
      <alignment horizontal="center" vertical="center"/>
    </xf>
    <xf numFmtId="0" fontId="11" fillId="12" borderId="35" xfId="0" applyFont="1" applyFill="1" applyBorder="1" applyAlignment="1">
      <alignment horizontal="center" vertical="center" wrapText="1"/>
    </xf>
    <xf numFmtId="165" fontId="26" fillId="23" borderId="35" xfId="0" applyNumberFormat="1" applyFont="1" applyFill="1" applyBorder="1" applyAlignment="1">
      <alignment horizontal="center" vertical="center" wrapText="1"/>
    </xf>
    <xf numFmtId="165" fontId="0" fillId="0" borderId="35" xfId="0" applyNumberFormat="1" applyBorder="1" applyAlignment="1">
      <alignment horizontal="center"/>
    </xf>
    <xf numFmtId="0" fontId="0" fillId="11" borderId="35" xfId="0" applyFill="1" applyBorder="1"/>
    <xf numFmtId="165" fontId="0" fillId="0" borderId="35" xfId="0" applyNumberFormat="1" applyBorder="1"/>
    <xf numFmtId="0" fontId="0" fillId="0" borderId="35" xfId="0" applyBorder="1" applyAlignment="1">
      <alignment horizontal="right"/>
    </xf>
    <xf numFmtId="0" fontId="0" fillId="0" borderId="35" xfId="0" applyBorder="1" applyAlignment="1">
      <alignment horizontal="center"/>
    </xf>
    <xf numFmtId="0" fontId="0" fillId="24" borderId="35" xfId="0" applyFill="1" applyBorder="1" applyAlignment="1">
      <alignment horizontal="right"/>
    </xf>
    <xf numFmtId="9" fontId="0" fillId="24" borderId="35" xfId="0" applyNumberFormat="1" applyFill="1" applyBorder="1" applyAlignment="1">
      <alignment horizontal="center"/>
    </xf>
    <xf numFmtId="0" fontId="0" fillId="25" borderId="35" xfId="0" applyFill="1" applyBorder="1" applyAlignment="1">
      <alignment horizontal="right"/>
    </xf>
    <xf numFmtId="0" fontId="0" fillId="25" borderId="35" xfId="0" applyFill="1" applyBorder="1"/>
    <xf numFmtId="165" fontId="0" fillId="26" borderId="35" xfId="0" applyNumberFormat="1" applyFill="1" applyBorder="1"/>
    <xf numFmtId="0" fontId="0" fillId="26" borderId="35" xfId="0" applyFill="1" applyBorder="1" applyAlignment="1">
      <alignment horizontal="center"/>
    </xf>
    <xf numFmtId="0" fontId="4" fillId="0" borderId="65" xfId="0" applyFont="1" applyBorder="1" applyAlignment="1" applyProtection="1">
      <alignment horizontal="center" vertical="center" wrapText="1"/>
      <protection locked="0"/>
    </xf>
    <xf numFmtId="0" fontId="13" fillId="0" borderId="0" xfId="0" applyFont="1" applyAlignment="1">
      <alignment horizontal="center" vertical="center"/>
    </xf>
    <xf numFmtId="0" fontId="0" fillId="27" borderId="0" xfId="0" applyFill="1" applyAlignment="1">
      <alignment wrapText="1"/>
    </xf>
    <xf numFmtId="0" fontId="0" fillId="27" borderId="0" xfId="0" applyFill="1"/>
    <xf numFmtId="1" fontId="30" fillId="10" borderId="0" xfId="2" applyNumberFormat="1" applyFont="1" applyFill="1" applyBorder="1" applyAlignment="1" applyProtection="1">
      <alignment horizontal="center" vertical="center" wrapText="1"/>
    </xf>
    <xf numFmtId="0" fontId="31" fillId="10" borderId="54" xfId="0" applyFont="1" applyFill="1" applyBorder="1" applyAlignment="1">
      <alignment horizontal="center" vertical="center" wrapText="1"/>
    </xf>
    <xf numFmtId="0" fontId="0" fillId="0" borderId="35" xfId="0" applyBorder="1" applyAlignment="1">
      <alignment vertical="center"/>
    </xf>
    <xf numFmtId="0" fontId="0" fillId="11" borderId="35" xfId="0" applyFill="1" applyBorder="1" applyAlignment="1">
      <alignment horizontal="right"/>
    </xf>
    <xf numFmtId="0" fontId="27" fillId="28" borderId="0" xfId="0" applyFont="1" applyFill="1" applyAlignment="1">
      <alignment horizontal="center" vertical="center"/>
    </xf>
    <xf numFmtId="165" fontId="0" fillId="0" borderId="0" xfId="0" applyNumberFormat="1"/>
    <xf numFmtId="165" fontId="26" fillId="29" borderId="40" xfId="0" applyNumberFormat="1" applyFont="1" applyFill="1" applyBorder="1" applyAlignment="1">
      <alignment horizontal="center" vertical="center" wrapText="1"/>
    </xf>
    <xf numFmtId="165" fontId="0" fillId="29" borderId="0" xfId="0" applyNumberFormat="1" applyFill="1"/>
    <xf numFmtId="0" fontId="0" fillId="30" borderId="35" xfId="0" applyFill="1" applyBorder="1" applyAlignment="1">
      <alignment horizontal="center" wrapText="1"/>
    </xf>
    <xf numFmtId="0" fontId="0" fillId="30" borderId="35" xfId="0" applyFill="1" applyBorder="1" applyAlignment="1">
      <alignment horizontal="center" vertical="center"/>
    </xf>
    <xf numFmtId="0" fontId="0" fillId="0" borderId="0" xfId="0" applyAlignment="1">
      <alignment horizontal="center"/>
    </xf>
    <xf numFmtId="0" fontId="0" fillId="31" borderId="35" xfId="0" applyFill="1" applyBorder="1"/>
    <xf numFmtId="0" fontId="0" fillId="32" borderId="67" xfId="0" applyFill="1" applyBorder="1"/>
    <xf numFmtId="9" fontId="0" fillId="0" borderId="0" xfId="0" applyNumberFormat="1"/>
    <xf numFmtId="0" fontId="33" fillId="0" borderId="0" xfId="0" applyFont="1" applyAlignment="1">
      <alignment horizontal="center" vertical="center"/>
    </xf>
    <xf numFmtId="0" fontId="0" fillId="0" borderId="35" xfId="0" applyBorder="1" applyAlignment="1">
      <alignment horizontal="center" wrapText="1"/>
    </xf>
    <xf numFmtId="0" fontId="3" fillId="0" borderId="63" xfId="4" applyFont="1" applyBorder="1" applyAlignment="1">
      <alignment horizontal="center" vertical="center" wrapText="1"/>
    </xf>
    <xf numFmtId="0" fontId="3" fillId="0" borderId="63" xfId="4" applyFont="1" applyBorder="1" applyAlignment="1">
      <alignment horizontal="center" vertical="center"/>
    </xf>
    <xf numFmtId="0" fontId="3" fillId="0" borderId="63" xfId="0" applyFont="1" applyBorder="1" applyAlignment="1" applyProtection="1">
      <alignment horizontal="left" vertical="center" wrapText="1"/>
      <protection locked="0"/>
    </xf>
    <xf numFmtId="0" fontId="3" fillId="0" borderId="63" xfId="0" applyFont="1" applyBorder="1" applyAlignment="1" applyProtection="1">
      <alignment horizontal="center" vertical="center" wrapText="1"/>
      <protection locked="0"/>
    </xf>
    <xf numFmtId="9" fontId="3" fillId="0" borderId="63" xfId="0" applyNumberFormat="1" applyFont="1" applyBorder="1" applyAlignment="1" applyProtection="1">
      <alignment horizontal="center" vertical="center" wrapText="1"/>
      <protection locked="0"/>
    </xf>
    <xf numFmtId="0" fontId="3" fillId="0" borderId="63" xfId="0" applyFont="1" applyBorder="1" applyAlignment="1" applyProtection="1">
      <alignment horizontal="center" vertical="center"/>
      <protection locked="0"/>
    </xf>
    <xf numFmtId="1" fontId="3" fillId="0" borderId="63" xfId="0" applyNumberFormat="1" applyFont="1" applyBorder="1" applyAlignment="1" applyProtection="1">
      <alignment horizontal="center" vertical="center" wrapText="1"/>
      <protection locked="0"/>
    </xf>
    <xf numFmtId="2" fontId="3" fillId="0" borderId="63" xfId="3" applyNumberFormat="1" applyFont="1" applyFill="1" applyBorder="1" applyAlignment="1" applyProtection="1">
      <alignment horizontal="center" vertical="center"/>
    </xf>
    <xf numFmtId="0" fontId="3" fillId="0" borderId="63" xfId="0" applyFont="1" applyBorder="1" applyAlignment="1">
      <alignment horizontal="center" vertical="center"/>
    </xf>
    <xf numFmtId="2" fontId="3" fillId="0" borderId="63" xfId="3" applyNumberFormat="1" applyFont="1" applyFill="1" applyBorder="1" applyAlignment="1" applyProtection="1">
      <alignment horizontal="center" vertical="center"/>
      <protection locked="0"/>
    </xf>
    <xf numFmtId="2" fontId="3" fillId="0" borderId="63" xfId="0" applyNumberFormat="1" applyFont="1" applyBorder="1" applyAlignment="1">
      <alignment horizontal="center" vertical="center" wrapText="1"/>
    </xf>
    <xf numFmtId="1" fontId="3" fillId="0" borderId="63" xfId="0" applyNumberFormat="1" applyFont="1" applyBorder="1" applyAlignment="1" applyProtection="1">
      <alignment horizontal="center" vertical="center"/>
      <protection locked="0"/>
    </xf>
    <xf numFmtId="1" fontId="3" fillId="0" borderId="63" xfId="3" applyNumberFormat="1" applyFont="1" applyFill="1" applyBorder="1" applyAlignment="1" applyProtection="1">
      <alignment horizontal="center" vertical="center"/>
      <protection locked="0"/>
    </xf>
    <xf numFmtId="0" fontId="3" fillId="4" borderId="64" xfId="0" applyFont="1" applyFill="1" applyBorder="1" applyAlignment="1" applyProtection="1">
      <alignment horizontal="center" vertical="center" wrapText="1"/>
      <protection locked="0"/>
    </xf>
    <xf numFmtId="0" fontId="3" fillId="4" borderId="63" xfId="0" applyFont="1" applyFill="1" applyBorder="1" applyAlignment="1" applyProtection="1">
      <alignment horizontal="center" vertical="center"/>
      <protection locked="0"/>
    </xf>
    <xf numFmtId="0" fontId="3" fillId="0" borderId="63" xfId="0" applyFont="1" applyBorder="1" applyAlignment="1">
      <alignment horizontal="center" vertical="center" wrapText="1"/>
    </xf>
    <xf numFmtId="0" fontId="8" fillId="0" borderId="63" xfId="0" applyFont="1" applyBorder="1" applyAlignment="1">
      <alignment vertical="center" wrapText="1"/>
    </xf>
    <xf numFmtId="9" fontId="3" fillId="0" borderId="63" xfId="2" applyNumberFormat="1" applyFont="1" applyFill="1" applyBorder="1" applyAlignment="1" applyProtection="1">
      <alignment horizontal="center" vertical="center"/>
      <protection locked="0"/>
    </xf>
    <xf numFmtId="0" fontId="3" fillId="4" borderId="63" xfId="0" applyFont="1" applyFill="1" applyBorder="1" applyAlignment="1" applyProtection="1">
      <alignment horizontal="center" vertical="center" wrapText="1"/>
      <protection locked="0"/>
    </xf>
    <xf numFmtId="0" fontId="3" fillId="0" borderId="63" xfId="4" applyFont="1" applyBorder="1" applyAlignment="1" applyProtection="1">
      <alignment horizontal="center" vertical="center" wrapText="1"/>
      <protection locked="0"/>
    </xf>
    <xf numFmtId="1" fontId="3" fillId="0" borderId="63" xfId="2" applyNumberFormat="1" applyFont="1" applyFill="1" applyBorder="1" applyAlignment="1" applyProtection="1">
      <alignment horizontal="center" vertical="center"/>
      <protection locked="0"/>
    </xf>
    <xf numFmtId="0" fontId="3" fillId="4" borderId="63" xfId="0" applyFont="1" applyFill="1" applyBorder="1" applyAlignment="1">
      <alignment horizontal="justify" vertical="center" wrapText="1"/>
    </xf>
    <xf numFmtId="0" fontId="3" fillId="0" borderId="63" xfId="0" applyFont="1" applyBorder="1" applyAlignment="1" applyProtection="1">
      <alignment horizontal="center" vertical="center" wrapText="1" readingOrder="1"/>
      <protection locked="0"/>
    </xf>
    <xf numFmtId="0" fontId="3" fillId="4" borderId="66" xfId="0" applyFont="1" applyFill="1" applyBorder="1" applyAlignment="1" applyProtection="1">
      <alignment horizontal="center" vertical="center" wrapText="1"/>
      <protection locked="0"/>
    </xf>
    <xf numFmtId="9" fontId="3" fillId="0" borderId="63" xfId="0" applyNumberFormat="1" applyFont="1" applyBorder="1" applyAlignment="1" applyProtection="1">
      <alignment horizontal="center" vertical="center"/>
      <protection locked="0"/>
    </xf>
    <xf numFmtId="9" fontId="3" fillId="0" borderId="63" xfId="2" applyNumberFormat="1" applyFont="1" applyFill="1" applyBorder="1" applyAlignment="1" applyProtection="1">
      <alignment horizontal="center" vertical="center" wrapText="1"/>
      <protection locked="0"/>
    </xf>
    <xf numFmtId="1" fontId="3" fillId="0" borderId="63" xfId="3" applyNumberFormat="1" applyFont="1" applyFill="1" applyBorder="1" applyAlignment="1" applyProtection="1">
      <alignment horizontal="center" vertical="center" wrapText="1"/>
      <protection locked="0"/>
    </xf>
    <xf numFmtId="0" fontId="3" fillId="14" borderId="63" xfId="4" applyFont="1" applyFill="1" applyBorder="1" applyAlignment="1">
      <alignment horizontal="center" vertical="center" wrapText="1"/>
    </xf>
    <xf numFmtId="0" fontId="3" fillId="0" borderId="63" xfId="0" applyFont="1" applyBorder="1" applyAlignment="1">
      <alignment horizontal="left" vertical="center" wrapText="1"/>
    </xf>
    <xf numFmtId="3" fontId="3" fillId="0" borderId="63" xfId="0" applyNumberFormat="1" applyFont="1" applyBorder="1" applyAlignment="1">
      <alignment horizontal="center" vertical="center" wrapText="1"/>
    </xf>
    <xf numFmtId="1" fontId="3" fillId="0" borderId="63" xfId="0" applyNumberFormat="1" applyFont="1" applyBorder="1" applyAlignment="1">
      <alignment horizontal="center" vertical="center" wrapText="1"/>
    </xf>
    <xf numFmtId="0" fontId="3" fillId="4" borderId="66" xfId="0" applyFont="1" applyFill="1" applyBorder="1" applyAlignment="1">
      <alignment horizontal="center" vertical="center" wrapText="1"/>
    </xf>
    <xf numFmtId="0" fontId="3" fillId="4" borderId="63" xfId="0" applyFont="1" applyFill="1" applyBorder="1" applyAlignment="1">
      <alignment horizontal="center" vertical="center" wrapText="1"/>
    </xf>
    <xf numFmtId="2" fontId="4" fillId="0" borderId="63" xfId="0" applyNumberFormat="1" applyFont="1" applyBorder="1" applyAlignment="1">
      <alignment horizontal="center" vertical="center"/>
    </xf>
    <xf numFmtId="2" fontId="8" fillId="0" borderId="63" xfId="3" applyNumberFormat="1" applyFont="1" applyFill="1" applyBorder="1" applyAlignment="1" applyProtection="1">
      <alignment horizontal="center" vertical="center"/>
      <protection locked="0"/>
    </xf>
    <xf numFmtId="166" fontId="3" fillId="0" borderId="63" xfId="0" applyNumberFormat="1" applyFont="1" applyBorder="1" applyAlignment="1" applyProtection="1">
      <alignment horizontal="center" vertical="center"/>
      <protection locked="0"/>
    </xf>
    <xf numFmtId="0" fontId="3" fillId="0" borderId="63" xfId="4" applyFont="1" applyBorder="1" applyAlignment="1">
      <alignment vertical="center" wrapText="1"/>
    </xf>
    <xf numFmtId="0" fontId="3" fillId="0" borderId="63" xfId="0" applyFont="1" applyBorder="1" applyAlignment="1">
      <alignment vertical="center" wrapText="1"/>
    </xf>
    <xf numFmtId="0" fontId="3" fillId="0" borderId="63" xfId="0" applyFont="1" applyBorder="1" applyAlignment="1" applyProtection="1">
      <alignment horizontal="justify" vertical="center" wrapText="1"/>
      <protection locked="0"/>
    </xf>
    <xf numFmtId="0" fontId="3" fillId="0" borderId="63" xfId="0" applyFont="1" applyBorder="1" applyAlignment="1" applyProtection="1">
      <alignment vertical="center" wrapText="1"/>
      <protection locked="0"/>
    </xf>
    <xf numFmtId="0" fontId="3" fillId="4" borderId="63" xfId="4" applyFont="1" applyFill="1" applyBorder="1" applyAlignment="1">
      <alignment horizontal="center" vertical="center" wrapText="1"/>
    </xf>
    <xf numFmtId="0" fontId="3" fillId="4" borderId="63" xfId="4" applyFont="1" applyFill="1" applyBorder="1" applyAlignment="1">
      <alignment horizontal="center" vertical="center"/>
    </xf>
    <xf numFmtId="0" fontId="3" fillId="4" borderId="63" xfId="0" applyFont="1" applyFill="1" applyBorder="1" applyAlignment="1">
      <alignment horizontal="left" vertical="center" wrapText="1"/>
    </xf>
    <xf numFmtId="1" fontId="3" fillId="4" borderId="63" xfId="0" applyNumberFormat="1" applyFont="1" applyFill="1" applyBorder="1" applyAlignment="1">
      <alignment horizontal="center" vertical="center" wrapText="1"/>
    </xf>
    <xf numFmtId="0" fontId="3" fillId="0" borderId="63" xfId="0" applyFont="1" applyBorder="1" applyAlignment="1">
      <alignment horizontal="justify" vertical="center" wrapText="1"/>
    </xf>
    <xf numFmtId="0" fontId="8" fillId="0" borderId="63" xfId="0" applyFont="1" applyBorder="1" applyAlignment="1">
      <alignment horizontal="center" vertical="center" wrapText="1"/>
    </xf>
    <xf numFmtId="0" fontId="2" fillId="21" borderId="63" xfId="4" applyFont="1" applyFill="1" applyBorder="1" applyAlignment="1">
      <alignment vertical="center" wrapText="1"/>
    </xf>
    <xf numFmtId="0" fontId="2" fillId="4" borderId="63" xfId="4" applyFont="1" applyFill="1" applyBorder="1" applyAlignment="1">
      <alignment vertical="center" wrapText="1"/>
    </xf>
    <xf numFmtId="1" fontId="8" fillId="0" borderId="63" xfId="0" applyNumberFormat="1" applyFont="1" applyBorder="1" applyAlignment="1">
      <alignment horizontal="center" vertical="center" wrapText="1"/>
    </xf>
    <xf numFmtId="0" fontId="12" fillId="6" borderId="62" xfId="0" applyFont="1" applyFill="1" applyBorder="1" applyAlignment="1">
      <alignment horizontal="center" vertical="center" wrapText="1"/>
    </xf>
    <xf numFmtId="0" fontId="12" fillId="12" borderId="62" xfId="0" applyFont="1" applyFill="1" applyBorder="1" applyAlignment="1">
      <alignment horizontal="center" vertical="center" wrapText="1"/>
    </xf>
    <xf numFmtId="1" fontId="8" fillId="0" borderId="63" xfId="0" applyNumberFormat="1" applyFont="1" applyBorder="1" applyAlignment="1">
      <alignment horizontal="justify" vertical="center" wrapText="1"/>
    </xf>
    <xf numFmtId="1" fontId="8" fillId="0" borderId="63" xfId="0" applyNumberFormat="1" applyFont="1" applyBorder="1" applyAlignment="1">
      <alignment horizontal="center" vertical="center"/>
    </xf>
    <xf numFmtId="0" fontId="2" fillId="0" borderId="63" xfId="4" applyFont="1" applyBorder="1" applyAlignment="1">
      <alignment vertical="center" wrapText="1"/>
    </xf>
    <xf numFmtId="9" fontId="8" fillId="3" borderId="35" xfId="3" applyFont="1" applyFill="1" applyBorder="1" applyAlignment="1">
      <alignment horizontal="center" vertical="center"/>
    </xf>
    <xf numFmtId="9" fontId="8" fillId="3" borderId="35" xfId="0" applyNumberFormat="1" applyFont="1" applyFill="1" applyBorder="1" applyAlignment="1">
      <alignment vertical="center"/>
    </xf>
    <xf numFmtId="0" fontId="14" fillId="3" borderId="0" xfId="0" applyFont="1" applyFill="1"/>
    <xf numFmtId="0" fontId="0" fillId="3" borderId="0" xfId="0" applyFill="1"/>
    <xf numFmtId="0" fontId="37" fillId="0" borderId="0" xfId="0" applyFont="1" applyAlignment="1">
      <alignment horizontal="center" vertical="center" wrapText="1"/>
    </xf>
    <xf numFmtId="0" fontId="37" fillId="0" borderId="0" xfId="0" applyFont="1" applyAlignment="1">
      <alignment vertical="center" wrapText="1"/>
    </xf>
    <xf numFmtId="165" fontId="3" fillId="0" borderId="63" xfId="3" applyNumberFormat="1" applyFont="1" applyFill="1" applyBorder="1" applyAlignment="1" applyProtection="1">
      <alignment horizontal="center" vertical="center" wrapText="1"/>
      <protection locked="0"/>
    </xf>
    <xf numFmtId="9" fontId="3" fillId="0" borderId="63" xfId="0" applyNumberFormat="1" applyFont="1" applyBorder="1" applyAlignment="1">
      <alignment horizontal="center" vertical="center" wrapText="1"/>
    </xf>
    <xf numFmtId="0" fontId="38" fillId="4" borderId="63" xfId="4" applyFont="1" applyFill="1" applyBorder="1" applyAlignment="1">
      <alignment vertical="center" wrapText="1"/>
    </xf>
    <xf numFmtId="9" fontId="3" fillId="3" borderId="35" xfId="3" applyFont="1" applyFill="1" applyBorder="1" applyAlignment="1">
      <alignment horizontal="center" vertical="center"/>
    </xf>
    <xf numFmtId="9" fontId="3" fillId="3" borderId="35" xfId="0" applyNumberFormat="1" applyFont="1" applyFill="1" applyBorder="1" applyAlignment="1">
      <alignment vertical="center"/>
    </xf>
    <xf numFmtId="0" fontId="3" fillId="0" borderId="0" xfId="0" applyFont="1" applyAlignment="1">
      <alignment vertical="center" wrapText="1"/>
    </xf>
    <xf numFmtId="1" fontId="3" fillId="4" borderId="63" xfId="0" applyNumberFormat="1" applyFont="1" applyFill="1" applyBorder="1" applyAlignment="1" applyProtection="1">
      <alignment horizontal="center" vertical="center"/>
      <protection locked="0"/>
    </xf>
    <xf numFmtId="0" fontId="3" fillId="0" borderId="63" xfId="0" applyFont="1" applyBorder="1" applyAlignment="1">
      <alignment wrapText="1"/>
    </xf>
    <xf numFmtId="1" fontId="3" fillId="0" borderId="63" xfId="0" applyNumberFormat="1" applyFont="1" applyBorder="1" applyAlignment="1">
      <alignment horizontal="justify" vertical="center" wrapText="1"/>
    </xf>
    <xf numFmtId="9" fontId="3" fillId="4" borderId="66" xfId="3" applyFont="1" applyFill="1" applyBorder="1" applyAlignment="1" applyProtection="1">
      <alignment horizontal="center" vertical="center" wrapText="1"/>
      <protection locked="0"/>
    </xf>
    <xf numFmtId="9" fontId="3" fillId="0" borderId="63" xfId="3" applyFont="1" applyBorder="1" applyAlignment="1">
      <alignment horizontal="center" vertical="center" wrapText="1"/>
    </xf>
    <xf numFmtId="1" fontId="3" fillId="4" borderId="63" xfId="0" applyNumberFormat="1" applyFont="1" applyFill="1" applyBorder="1" applyAlignment="1" applyProtection="1">
      <alignment horizontal="center" vertical="center" wrapText="1"/>
      <protection locked="0"/>
    </xf>
    <xf numFmtId="9" fontId="3" fillId="0" borderId="63" xfId="3" applyFont="1" applyBorder="1" applyAlignment="1">
      <alignment horizontal="center" vertical="center"/>
    </xf>
    <xf numFmtId="9" fontId="3" fillId="0" borderId="63" xfId="3" applyFont="1" applyFill="1" applyBorder="1" applyAlignment="1">
      <alignment horizontal="center" vertical="center"/>
    </xf>
    <xf numFmtId="1" fontId="3" fillId="0" borderId="63" xfId="0" applyNumberFormat="1" applyFont="1" applyBorder="1" applyAlignment="1">
      <alignment horizontal="left" vertical="center" wrapText="1"/>
    </xf>
    <xf numFmtId="1" fontId="3" fillId="0" borderId="63" xfId="0" applyNumberFormat="1" applyFont="1" applyBorder="1" applyAlignment="1">
      <alignment horizontal="center" vertical="center"/>
    </xf>
    <xf numFmtId="2" fontId="3" fillId="0" borderId="63" xfId="1" applyNumberFormat="1" applyFont="1" applyBorder="1" applyAlignment="1">
      <alignment horizontal="center" vertical="center" wrapText="1"/>
    </xf>
    <xf numFmtId="2" fontId="3" fillId="0" borderId="63" xfId="0" applyNumberFormat="1" applyFont="1" applyBorder="1" applyAlignment="1">
      <alignment horizontal="center" vertical="center"/>
    </xf>
    <xf numFmtId="0" fontId="0" fillId="14" borderId="35" xfId="0" applyFill="1" applyBorder="1"/>
    <xf numFmtId="165" fontId="0" fillId="14" borderId="35" xfId="0" applyNumberFormat="1" applyFill="1" applyBorder="1" applyAlignment="1">
      <alignment horizontal="center"/>
    </xf>
    <xf numFmtId="0" fontId="0" fillId="3" borderId="35" xfId="0" applyFill="1" applyBorder="1"/>
    <xf numFmtId="165" fontId="0" fillId="3" borderId="35" xfId="0" applyNumberFormat="1" applyFill="1" applyBorder="1" applyAlignment="1">
      <alignment horizontal="center"/>
    </xf>
    <xf numFmtId="0" fontId="27" fillId="3" borderId="35" xfId="0" applyFont="1" applyFill="1" applyBorder="1"/>
    <xf numFmtId="0" fontId="27" fillId="14" borderId="35" xfId="0" applyFont="1" applyFill="1" applyBorder="1"/>
    <xf numFmtId="9" fontId="9" fillId="0" borderId="0" xfId="0" applyNumberFormat="1" applyFont="1" applyAlignment="1">
      <alignment horizontal="center" vertical="center"/>
    </xf>
    <xf numFmtId="9" fontId="4" fillId="0" borderId="0" xfId="0" applyNumberFormat="1" applyFont="1" applyAlignment="1">
      <alignment vertical="center" wrapText="1"/>
    </xf>
    <xf numFmtId="9" fontId="4" fillId="0" borderId="0" xfId="0" applyNumberFormat="1" applyFont="1" applyAlignment="1">
      <alignment wrapText="1"/>
    </xf>
    <xf numFmtId="9" fontId="26" fillId="34" borderId="71" xfId="0" applyNumberFormat="1" applyFont="1" applyFill="1" applyBorder="1" applyAlignment="1">
      <alignment horizontal="center" vertical="center" wrapText="1"/>
    </xf>
    <xf numFmtId="9" fontId="26" fillId="34" borderId="62" xfId="0" applyNumberFormat="1" applyFont="1" applyFill="1" applyBorder="1" applyAlignment="1">
      <alignment horizontal="center" vertical="center" wrapText="1"/>
    </xf>
    <xf numFmtId="9" fontId="3" fillId="0" borderId="74" xfId="0" applyNumberFormat="1" applyFont="1" applyBorder="1" applyAlignment="1">
      <alignment horizontal="center" vertical="center" wrapText="1"/>
    </xf>
    <xf numFmtId="9" fontId="3" fillId="0" borderId="75" xfId="0" applyNumberFormat="1" applyFont="1" applyBorder="1" applyAlignment="1">
      <alignment horizontal="center" vertical="center" wrapText="1"/>
    </xf>
    <xf numFmtId="9" fontId="3" fillId="0" borderId="75" xfId="0" applyNumberFormat="1" applyFont="1" applyBorder="1" applyAlignment="1">
      <alignment vertical="center" wrapText="1"/>
    </xf>
    <xf numFmtId="9" fontId="3" fillId="0" borderId="76" xfId="0" applyNumberFormat="1" applyFont="1" applyBorder="1" applyAlignment="1">
      <alignment vertical="center" wrapText="1"/>
    </xf>
    <xf numFmtId="9" fontId="3" fillId="35" borderId="74" xfId="0" applyNumberFormat="1" applyFont="1" applyFill="1" applyBorder="1" applyAlignment="1">
      <alignment horizontal="center" vertical="center" wrapText="1"/>
    </xf>
    <xf numFmtId="9" fontId="3" fillId="35" borderId="75" xfId="0" applyNumberFormat="1" applyFont="1" applyFill="1" applyBorder="1" applyAlignment="1">
      <alignment horizontal="center" vertical="center" wrapText="1"/>
    </xf>
    <xf numFmtId="9" fontId="3" fillId="35" borderId="75" xfId="0" applyNumberFormat="1" applyFont="1" applyFill="1" applyBorder="1" applyAlignment="1">
      <alignment vertical="center" wrapText="1"/>
    </xf>
    <xf numFmtId="9" fontId="3" fillId="35" borderId="76" xfId="0" applyNumberFormat="1" applyFont="1" applyFill="1" applyBorder="1" applyAlignment="1">
      <alignment vertical="center" wrapText="1"/>
    </xf>
    <xf numFmtId="9" fontId="3" fillId="35" borderId="68" xfId="0" applyNumberFormat="1" applyFont="1" applyFill="1" applyBorder="1" applyAlignment="1">
      <alignment horizontal="center" vertical="center" wrapText="1"/>
    </xf>
    <xf numFmtId="9" fontId="3" fillId="35" borderId="69" xfId="0" applyNumberFormat="1" applyFont="1" applyFill="1" applyBorder="1" applyAlignment="1">
      <alignment horizontal="center" vertical="center" wrapText="1"/>
    </xf>
    <xf numFmtId="9" fontId="3" fillId="35" borderId="69" xfId="0" applyNumberFormat="1" applyFont="1" applyFill="1" applyBorder="1" applyAlignment="1">
      <alignment vertical="center" wrapText="1"/>
    </xf>
    <xf numFmtId="9" fontId="3" fillId="35" borderId="70" xfId="0" applyNumberFormat="1" applyFont="1" applyFill="1" applyBorder="1" applyAlignment="1">
      <alignment vertical="center" wrapText="1"/>
    </xf>
    <xf numFmtId="9" fontId="11" fillId="34" borderId="37" xfId="0" applyNumberFormat="1" applyFont="1" applyFill="1" applyBorder="1" applyAlignment="1">
      <alignment horizontal="center" vertical="center" wrapText="1"/>
    </xf>
    <xf numFmtId="9" fontId="27" fillId="34" borderId="37" xfId="0" applyNumberFormat="1" applyFont="1" applyFill="1" applyBorder="1" applyAlignment="1">
      <alignment horizontal="center" vertical="center" wrapText="1"/>
    </xf>
    <xf numFmtId="9" fontId="9" fillId="4" borderId="6" xfId="0" quotePrefix="1" applyNumberFormat="1" applyFont="1" applyFill="1" applyBorder="1" applyAlignment="1">
      <alignment horizontal="center" vertical="center"/>
    </xf>
    <xf numFmtId="9" fontId="9" fillId="4" borderId="6" xfId="3" applyFont="1" applyFill="1" applyBorder="1" applyAlignment="1">
      <alignment horizontal="center" vertical="center"/>
    </xf>
    <xf numFmtId="2" fontId="3" fillId="14" borderId="63" xfId="0" applyNumberFormat="1" applyFont="1" applyFill="1" applyBorder="1" applyAlignment="1">
      <alignment horizontal="center" vertical="center" wrapText="1"/>
    </xf>
    <xf numFmtId="0" fontId="12" fillId="36" borderId="2" xfId="0" applyFont="1" applyFill="1" applyBorder="1"/>
    <xf numFmtId="0" fontId="8" fillId="36" borderId="3" xfId="0" applyFont="1" applyFill="1" applyBorder="1" applyAlignment="1">
      <alignment horizontal="center" vertical="center"/>
    </xf>
    <xf numFmtId="9" fontId="8" fillId="36" borderId="3" xfId="3" applyFont="1" applyFill="1" applyBorder="1" applyAlignment="1">
      <alignment horizontal="center" vertical="center"/>
    </xf>
    <xf numFmtId="0" fontId="8" fillId="36" borderId="4" xfId="0" applyFont="1" applyFill="1" applyBorder="1"/>
    <xf numFmtId="0" fontId="10" fillId="36" borderId="5" xfId="0" applyFont="1" applyFill="1" applyBorder="1"/>
    <xf numFmtId="0" fontId="9" fillId="36" borderId="0" xfId="0" applyFont="1" applyFill="1" applyAlignment="1">
      <alignment horizontal="center" vertical="center"/>
    </xf>
    <xf numFmtId="0" fontId="8" fillId="36" borderId="7" xfId="0" applyFont="1" applyFill="1" applyBorder="1"/>
    <xf numFmtId="9" fontId="9" fillId="36" borderId="0" xfId="3" applyFont="1" applyFill="1" applyBorder="1" applyAlignment="1">
      <alignment horizontal="center" vertical="center"/>
    </xf>
    <xf numFmtId="0" fontId="10" fillId="36" borderId="8" xfId="0" applyFont="1" applyFill="1" applyBorder="1"/>
    <xf numFmtId="0" fontId="9" fillId="36" borderId="9" xfId="0" applyFont="1" applyFill="1" applyBorder="1" applyAlignment="1">
      <alignment horizontal="center" vertical="center"/>
    </xf>
    <xf numFmtId="9" fontId="9" fillId="36" borderId="9" xfId="3" applyFont="1" applyFill="1" applyBorder="1" applyAlignment="1">
      <alignment horizontal="center" vertical="center"/>
    </xf>
    <xf numFmtId="0" fontId="8" fillId="36" borderId="10" xfId="0" applyFont="1" applyFill="1" applyBorder="1"/>
    <xf numFmtId="0" fontId="0" fillId="37" borderId="0" xfId="0" applyFill="1"/>
    <xf numFmtId="0" fontId="34" fillId="37" borderId="56" xfId="0" applyFont="1" applyFill="1" applyBorder="1" applyAlignment="1" applyProtection="1">
      <alignment horizontal="left" vertical="center"/>
      <protection locked="0" hidden="1"/>
    </xf>
    <xf numFmtId="165" fontId="4" fillId="38" borderId="63" xfId="3" applyNumberFormat="1" applyFont="1" applyFill="1" applyBorder="1" applyAlignment="1" applyProtection="1">
      <alignment horizontal="center" vertical="center" wrapText="1"/>
      <protection locked="0"/>
    </xf>
    <xf numFmtId="0" fontId="0" fillId="39" borderId="0" xfId="0" applyFill="1"/>
    <xf numFmtId="0" fontId="0" fillId="11" borderId="0" xfId="0" applyFill="1"/>
    <xf numFmtId="0" fontId="34" fillId="11" borderId="56" xfId="0" applyFont="1" applyFill="1" applyBorder="1" applyAlignment="1" applyProtection="1">
      <alignment horizontal="left" vertical="center"/>
      <protection locked="0" hidden="1"/>
    </xf>
    <xf numFmtId="0" fontId="3" fillId="11" borderId="0" xfId="0" applyFont="1" applyFill="1" applyAlignment="1">
      <alignment vertical="center" wrapText="1"/>
    </xf>
    <xf numFmtId="0" fontId="11" fillId="0" borderId="37" xfId="0" applyFont="1" applyBorder="1" applyAlignment="1">
      <alignment vertical="center" wrapText="1"/>
    </xf>
    <xf numFmtId="1" fontId="21" fillId="10" borderId="0" xfId="2" applyNumberFormat="1" applyFont="1" applyFill="1" applyBorder="1" applyAlignment="1" applyProtection="1">
      <alignment horizontal="center" vertical="center" wrapText="1"/>
    </xf>
    <xf numFmtId="2" fontId="4" fillId="0" borderId="35" xfId="0" applyNumberFormat="1" applyFont="1" applyBorder="1" applyAlignment="1">
      <alignment horizontal="center" vertical="center" wrapText="1"/>
    </xf>
    <xf numFmtId="0" fontId="11" fillId="6" borderId="35" xfId="0" applyFont="1" applyFill="1" applyBorder="1" applyAlignment="1">
      <alignment horizontal="center" vertical="center" wrapText="1"/>
    </xf>
    <xf numFmtId="0" fontId="11" fillId="15" borderId="35" xfId="0" applyFont="1" applyFill="1" applyBorder="1" applyAlignment="1">
      <alignment horizontal="center" vertical="center" wrapText="1"/>
    </xf>
    <xf numFmtId="0" fontId="41" fillId="0" borderId="0" xfId="0" applyFont="1"/>
    <xf numFmtId="0" fontId="4" fillId="0" borderId="63" xfId="0" applyFont="1" applyBorder="1" applyAlignment="1" applyProtection="1">
      <alignment horizontal="left" vertical="center" wrapText="1"/>
      <protection locked="0"/>
    </xf>
    <xf numFmtId="0" fontId="4" fillId="0" borderId="63" xfId="0" applyFont="1" applyBorder="1" applyAlignment="1">
      <alignment horizontal="left" vertical="center" wrapText="1"/>
    </xf>
    <xf numFmtId="0" fontId="4" fillId="4" borderId="63" xfId="0" applyFont="1" applyFill="1" applyBorder="1" applyAlignment="1">
      <alignment horizontal="left" vertical="center" wrapText="1"/>
    </xf>
    <xf numFmtId="0" fontId="3" fillId="4" borderId="1" xfId="0" applyFont="1" applyFill="1" applyBorder="1" applyAlignment="1" applyProtection="1">
      <alignment horizontal="center" vertical="center" wrapText="1"/>
      <protection locked="0"/>
    </xf>
    <xf numFmtId="164" fontId="39" fillId="0" borderId="63" xfId="0" applyNumberFormat="1" applyFont="1" applyBorder="1" applyAlignment="1">
      <alignment vertical="center" wrapText="1"/>
    </xf>
    <xf numFmtId="9" fontId="3" fillId="0" borderId="72" xfId="0" applyNumberFormat="1" applyFont="1" applyBorder="1" applyAlignment="1">
      <alignment horizontal="center" vertical="center" wrapText="1"/>
    </xf>
    <xf numFmtId="9" fontId="3" fillId="0" borderId="45" xfId="0" applyNumberFormat="1" applyFont="1" applyBorder="1" applyAlignment="1">
      <alignment horizontal="center" vertical="center" wrapText="1"/>
    </xf>
    <xf numFmtId="9" fontId="3" fillId="0" borderId="45" xfId="0" applyNumberFormat="1" applyFont="1" applyBorder="1" applyAlignment="1">
      <alignment vertical="center" wrapText="1"/>
    </xf>
    <xf numFmtId="9" fontId="3" fillId="0" borderId="73" xfId="0" applyNumberFormat="1" applyFont="1" applyBorder="1" applyAlignment="1">
      <alignment vertical="center" wrapText="1"/>
    </xf>
    <xf numFmtId="0" fontId="4" fillId="14" borderId="63" xfId="0" applyFont="1" applyFill="1" applyBorder="1" applyAlignment="1" applyProtection="1">
      <alignment horizontal="center" vertical="center" wrapText="1"/>
      <protection locked="0"/>
    </xf>
    <xf numFmtId="0" fontId="0" fillId="0" borderId="35" xfId="0" applyBorder="1" applyAlignment="1">
      <alignment horizontal="center" vertical="center"/>
    </xf>
    <xf numFmtId="0" fontId="4" fillId="41" borderId="63" xfId="0" applyFont="1" applyFill="1" applyBorder="1" applyAlignment="1">
      <alignment horizontal="left" vertical="center" wrapText="1"/>
    </xf>
    <xf numFmtId="0" fontId="42" fillId="0" borderId="0" xfId="0" applyFont="1" applyAlignment="1">
      <alignment horizontal="center" vertical="center" wrapText="1"/>
    </xf>
    <xf numFmtId="0" fontId="3" fillId="6" borderId="63" xfId="0" applyFont="1" applyFill="1" applyBorder="1" applyAlignment="1">
      <alignment horizontal="center" vertical="center"/>
    </xf>
    <xf numFmtId="0" fontId="3" fillId="6" borderId="35" xfId="0" applyFont="1" applyFill="1" applyBorder="1" applyAlignment="1">
      <alignment horizontal="center" vertical="center"/>
    </xf>
    <xf numFmtId="0" fontId="11" fillId="15" borderId="36" xfId="0" applyFont="1" applyFill="1" applyBorder="1" applyAlignment="1">
      <alignment horizontal="center" vertical="center" wrapText="1"/>
    </xf>
    <xf numFmtId="0" fontId="3" fillId="0" borderId="65" xfId="0" applyFont="1" applyBorder="1" applyAlignment="1">
      <alignment horizontal="center" vertical="center" wrapText="1"/>
    </xf>
    <xf numFmtId="1" fontId="3" fillId="0" borderId="65" xfId="0" applyNumberFormat="1" applyFont="1" applyBorder="1" applyAlignment="1">
      <alignment horizontal="center" vertical="center" wrapText="1"/>
    </xf>
    <xf numFmtId="0" fontId="42" fillId="0" borderId="80" xfId="0" applyFont="1" applyBorder="1" applyAlignment="1">
      <alignment horizontal="center" vertical="center" wrapText="1"/>
    </xf>
    <xf numFmtId="0" fontId="42" fillId="0" borderId="81" xfId="0" applyFont="1" applyBorder="1" applyAlignment="1">
      <alignment horizontal="center" vertical="center" wrapText="1"/>
    </xf>
    <xf numFmtId="0" fontId="11" fillId="6" borderId="82" xfId="0" applyFont="1" applyFill="1" applyBorder="1" applyAlignment="1">
      <alignment horizontal="center" vertical="center" wrapText="1"/>
    </xf>
    <xf numFmtId="0" fontId="11" fillId="15" borderId="83" xfId="0" applyFont="1" applyFill="1" applyBorder="1" applyAlignment="1">
      <alignment horizontal="center" vertical="center" wrapText="1"/>
    </xf>
    <xf numFmtId="1" fontId="3" fillId="0" borderId="84" xfId="0" applyNumberFormat="1" applyFont="1" applyBorder="1" applyAlignment="1">
      <alignment horizontal="center" vertical="center" wrapText="1"/>
    </xf>
    <xf numFmtId="1" fontId="3" fillId="0" borderId="85" xfId="0" applyNumberFormat="1" applyFont="1" applyBorder="1" applyAlignment="1">
      <alignment horizontal="center" vertical="center" wrapText="1"/>
    </xf>
    <xf numFmtId="0" fontId="3" fillId="0" borderId="85" xfId="0" applyFont="1" applyBorder="1" applyAlignment="1">
      <alignment horizontal="center" vertical="center" wrapText="1"/>
    </xf>
    <xf numFmtId="0" fontId="3" fillId="0" borderId="84" xfId="0" applyFont="1" applyBorder="1" applyAlignment="1">
      <alignment horizontal="center" vertical="center" wrapText="1"/>
    </xf>
    <xf numFmtId="1" fontId="3" fillId="0" borderId="84" xfId="3" applyNumberFormat="1" applyFont="1" applyFill="1" applyBorder="1" applyAlignment="1" applyProtection="1">
      <alignment horizontal="center" vertical="center" wrapText="1"/>
      <protection locked="0"/>
    </xf>
    <xf numFmtId="2" fontId="3" fillId="0" borderId="84" xfId="3" applyNumberFormat="1" applyFont="1" applyFill="1" applyBorder="1" applyAlignment="1" applyProtection="1">
      <alignment horizontal="center" vertical="center"/>
    </xf>
    <xf numFmtId="0" fontId="3" fillId="0" borderId="84" xfId="0" applyFont="1" applyBorder="1" applyAlignment="1">
      <alignment horizontal="center" vertical="center"/>
    </xf>
    <xf numFmtId="1" fontId="3" fillId="0" borderId="84" xfId="0" applyNumberFormat="1" applyFont="1" applyBorder="1" applyAlignment="1" applyProtection="1">
      <alignment horizontal="center" vertical="center" wrapText="1"/>
      <protection locked="0"/>
    </xf>
    <xf numFmtId="1" fontId="3" fillId="0" borderId="84" xfId="0" applyNumberFormat="1" applyFont="1" applyBorder="1" applyAlignment="1" applyProtection="1">
      <alignment horizontal="center" vertical="center"/>
      <protection locked="0"/>
    </xf>
    <xf numFmtId="2" fontId="3" fillId="0" borderId="84" xfId="3" applyNumberFormat="1" applyFont="1" applyFill="1" applyBorder="1" applyAlignment="1" applyProtection="1">
      <alignment horizontal="center" vertical="center"/>
      <protection locked="0"/>
    </xf>
    <xf numFmtId="166" fontId="3" fillId="0" borderId="84" xfId="0" applyNumberFormat="1" applyFont="1" applyBorder="1" applyAlignment="1" applyProtection="1">
      <alignment horizontal="center" vertical="center"/>
      <protection locked="0"/>
    </xf>
    <xf numFmtId="1" fontId="3" fillId="0" borderId="84" xfId="3" applyNumberFormat="1" applyFont="1" applyFill="1" applyBorder="1" applyAlignment="1" applyProtection="1">
      <alignment horizontal="center" vertical="center"/>
      <protection locked="0"/>
    </xf>
    <xf numFmtId="166" fontId="3" fillId="0" borderId="86" xfId="0" applyNumberFormat="1" applyFont="1" applyBorder="1" applyAlignment="1" applyProtection="1">
      <alignment horizontal="center" vertical="center"/>
      <protection locked="0"/>
    </xf>
    <xf numFmtId="0" fontId="3" fillId="6" borderId="87" xfId="0" applyFont="1" applyFill="1" applyBorder="1" applyAlignment="1">
      <alignment horizontal="center" vertical="center"/>
    </xf>
    <xf numFmtId="2" fontId="3" fillId="0" borderId="88" xfId="0" applyNumberFormat="1" applyFont="1" applyBorder="1" applyAlignment="1">
      <alignment horizontal="center" vertical="center" wrapText="1"/>
    </xf>
    <xf numFmtId="1" fontId="3" fillId="0" borderId="89" xfId="0" applyNumberFormat="1" applyFont="1" applyBorder="1" applyAlignment="1">
      <alignment horizontal="center" vertical="center" wrapText="1"/>
    </xf>
    <xf numFmtId="1" fontId="3" fillId="20" borderId="36" xfId="0" applyNumberFormat="1" applyFont="1" applyFill="1" applyBorder="1" applyAlignment="1">
      <alignment horizontal="center" vertical="center" wrapText="1"/>
    </xf>
    <xf numFmtId="0" fontId="3" fillId="0" borderId="36" xfId="0" applyFont="1" applyBorder="1" applyAlignment="1">
      <alignment horizontal="center" vertical="center" wrapText="1"/>
    </xf>
    <xf numFmtId="0" fontId="3" fillId="4" borderId="65" xfId="0" applyFont="1" applyFill="1" applyBorder="1" applyAlignment="1" applyProtection="1">
      <alignment horizontal="center" vertical="center" wrapText="1"/>
      <protection locked="0"/>
    </xf>
    <xf numFmtId="0" fontId="3" fillId="4" borderId="90" xfId="0" applyFont="1" applyFill="1" applyBorder="1" applyAlignment="1" applyProtection="1">
      <alignment horizontal="center" vertical="center" wrapText="1"/>
      <protection locked="0"/>
    </xf>
    <xf numFmtId="0" fontId="3" fillId="4" borderId="35" xfId="0" applyFont="1" applyFill="1" applyBorder="1" applyAlignment="1" applyProtection="1">
      <alignment horizontal="center" vertical="center" wrapText="1"/>
      <protection locked="0"/>
    </xf>
    <xf numFmtId="9" fontId="0" fillId="0" borderId="0" xfId="3" applyFont="1"/>
    <xf numFmtId="1" fontId="3" fillId="42" borderId="85" xfId="0" applyNumberFormat="1" applyFont="1" applyFill="1" applyBorder="1" applyAlignment="1">
      <alignment horizontal="center" vertical="center" wrapText="1"/>
    </xf>
    <xf numFmtId="0" fontId="3" fillId="42" borderId="85" xfId="0" applyFont="1" applyFill="1" applyBorder="1" applyAlignment="1">
      <alignment horizontal="center" vertical="center" wrapText="1"/>
    </xf>
    <xf numFmtId="0" fontId="3" fillId="42" borderId="63" xfId="0" applyFont="1" applyFill="1" applyBorder="1" applyAlignment="1" applyProtection="1">
      <alignment horizontal="center" vertical="center" wrapText="1"/>
      <protection locked="0"/>
    </xf>
    <xf numFmtId="0" fontId="42" fillId="8" borderId="0" xfId="0" applyFont="1" applyFill="1" applyAlignment="1">
      <alignment horizontal="center" vertical="center" wrapText="1"/>
    </xf>
    <xf numFmtId="0" fontId="37" fillId="8" borderId="0" xfId="0" applyFont="1" applyFill="1" applyAlignment="1">
      <alignment horizontal="center" vertical="center" wrapText="1"/>
    </xf>
    <xf numFmtId="0" fontId="37" fillId="43" borderId="0" xfId="0" applyFont="1" applyFill="1" applyAlignment="1">
      <alignment horizontal="center" vertical="center" wrapText="1"/>
    </xf>
    <xf numFmtId="9" fontId="4" fillId="43" borderId="0" xfId="0" applyNumberFormat="1" applyFont="1" applyFill="1" applyAlignment="1">
      <alignment vertical="center" wrapText="1"/>
    </xf>
    <xf numFmtId="0" fontId="0" fillId="6" borderId="35" xfId="0" applyFill="1" applyBorder="1" applyAlignment="1">
      <alignment horizontal="center" vertical="center"/>
    </xf>
    <xf numFmtId="0" fontId="0" fillId="31" borderId="35" xfId="0" applyFill="1" applyBorder="1" applyAlignment="1">
      <alignment horizontal="center" vertical="center"/>
    </xf>
    <xf numFmtId="0" fontId="3" fillId="44" borderId="63" xfId="4" applyFont="1" applyFill="1" applyBorder="1" applyAlignment="1">
      <alignment horizontal="center" vertical="center" wrapText="1"/>
    </xf>
    <xf numFmtId="0" fontId="3" fillId="44" borderId="63" xfId="0" applyFont="1" applyFill="1" applyBorder="1" applyAlignment="1">
      <alignment horizontal="center" vertical="center" wrapText="1"/>
    </xf>
    <xf numFmtId="0" fontId="3" fillId="21" borderId="63" xfId="4" applyFont="1" applyFill="1" applyBorder="1" applyAlignment="1">
      <alignment horizontal="center" vertical="center" wrapText="1"/>
    </xf>
    <xf numFmtId="0" fontId="3" fillId="21" borderId="63" xfId="4" applyFont="1" applyFill="1" applyBorder="1" applyAlignment="1">
      <alignment horizontal="center" vertical="center"/>
    </xf>
    <xf numFmtId="0" fontId="3" fillId="21" borderId="63" xfId="0" applyFont="1" applyFill="1" applyBorder="1" applyAlignment="1" applyProtection="1">
      <alignment horizontal="left" vertical="center" wrapText="1"/>
      <protection locked="0"/>
    </xf>
    <xf numFmtId="0" fontId="3" fillId="21" borderId="63" xfId="0" applyFont="1" applyFill="1" applyBorder="1" applyAlignment="1" applyProtection="1">
      <alignment horizontal="center" vertical="center" wrapText="1"/>
      <protection locked="0"/>
    </xf>
    <xf numFmtId="0" fontId="3" fillId="21" borderId="0" xfId="0" applyFont="1" applyFill="1" applyAlignment="1" applyProtection="1">
      <alignment horizontal="center" vertical="center" wrapText="1"/>
      <protection locked="0"/>
    </xf>
    <xf numFmtId="9" fontId="3" fillId="21" borderId="63" xfId="0" applyNumberFormat="1" applyFont="1" applyFill="1" applyBorder="1" applyAlignment="1" applyProtection="1">
      <alignment horizontal="center" vertical="center" wrapText="1"/>
      <protection locked="0"/>
    </xf>
    <xf numFmtId="0" fontId="3" fillId="21" borderId="63" xfId="0" applyFont="1" applyFill="1" applyBorder="1" applyAlignment="1" applyProtection="1">
      <alignment horizontal="center" vertical="center"/>
      <protection locked="0"/>
    </xf>
    <xf numFmtId="0" fontId="3" fillId="21" borderId="63" xfId="0" applyFont="1" applyFill="1" applyBorder="1" applyAlignment="1">
      <alignment horizontal="center" vertical="center" wrapText="1"/>
    </xf>
    <xf numFmtId="1" fontId="3" fillId="21" borderId="63" xfId="0" applyNumberFormat="1" applyFont="1" applyFill="1" applyBorder="1" applyAlignment="1" applyProtection="1">
      <alignment horizontal="center" vertical="center" wrapText="1"/>
      <protection locked="0"/>
    </xf>
    <xf numFmtId="2" fontId="3" fillId="21" borderId="63" xfId="3" applyNumberFormat="1" applyFont="1" applyFill="1" applyBorder="1" applyAlignment="1" applyProtection="1">
      <alignment horizontal="center" vertical="center"/>
    </xf>
    <xf numFmtId="0" fontId="3" fillId="21" borderId="35" xfId="0" applyFont="1" applyFill="1" applyBorder="1" applyAlignment="1">
      <alignment horizontal="center" vertical="center"/>
    </xf>
    <xf numFmtId="2" fontId="3" fillId="21" borderId="63" xfId="3" applyNumberFormat="1" applyFont="1" applyFill="1" applyBorder="1" applyAlignment="1" applyProtection="1">
      <alignment horizontal="center" vertical="center"/>
      <protection locked="0"/>
    </xf>
    <xf numFmtId="2" fontId="3" fillId="21" borderId="63" xfId="0" applyNumberFormat="1" applyFont="1" applyFill="1" applyBorder="1" applyAlignment="1" applyProtection="1">
      <alignment horizontal="center" vertical="center" wrapText="1"/>
      <protection locked="0"/>
    </xf>
    <xf numFmtId="2" fontId="3" fillId="21" borderId="63" xfId="0" applyNumberFormat="1" applyFont="1" applyFill="1" applyBorder="1" applyAlignment="1">
      <alignment horizontal="center" vertical="center" wrapText="1"/>
    </xf>
    <xf numFmtId="0" fontId="3" fillId="21" borderId="85" xfId="0" applyFont="1" applyFill="1" applyBorder="1" applyAlignment="1">
      <alignment horizontal="center" vertical="center" wrapText="1"/>
    </xf>
    <xf numFmtId="1" fontId="3" fillId="21" borderId="63" xfId="0" applyNumberFormat="1" applyFont="1" applyFill="1" applyBorder="1" applyAlignment="1">
      <alignment horizontal="center" vertical="center" wrapText="1"/>
    </xf>
    <xf numFmtId="165" fontId="3" fillId="21" borderId="63" xfId="3" applyNumberFormat="1" applyFont="1" applyFill="1" applyBorder="1" applyAlignment="1" applyProtection="1">
      <alignment horizontal="center" vertical="center" wrapText="1"/>
      <protection locked="0"/>
    </xf>
    <xf numFmtId="1" fontId="3" fillId="21" borderId="63" xfId="0" applyNumberFormat="1" applyFont="1" applyFill="1" applyBorder="1" applyAlignment="1" applyProtection="1">
      <alignment horizontal="center" vertical="center"/>
      <protection locked="0"/>
    </xf>
    <xf numFmtId="1" fontId="3" fillId="21" borderId="63" xfId="3" applyNumberFormat="1" applyFont="1" applyFill="1" applyBorder="1" applyAlignment="1" applyProtection="1">
      <alignment horizontal="center" vertical="center"/>
      <protection locked="0"/>
    </xf>
    <xf numFmtId="0" fontId="3" fillId="21" borderId="66" xfId="0" applyFont="1" applyFill="1" applyBorder="1" applyAlignment="1" applyProtection="1">
      <alignment horizontal="center" vertical="center" wrapText="1"/>
      <protection locked="0"/>
    </xf>
    <xf numFmtId="9" fontId="3" fillId="21" borderId="63" xfId="0" applyNumberFormat="1" applyFont="1" applyFill="1" applyBorder="1" applyAlignment="1">
      <alignment horizontal="center" vertical="center" wrapText="1"/>
    </xf>
    <xf numFmtId="0" fontId="38" fillId="21" borderId="63" xfId="4" applyFont="1" applyFill="1" applyBorder="1" applyAlignment="1">
      <alignment vertical="center" wrapText="1"/>
    </xf>
    <xf numFmtId="9" fontId="3" fillId="21" borderId="35" xfId="3" applyFont="1" applyFill="1" applyBorder="1" applyAlignment="1">
      <alignment horizontal="center" vertical="center"/>
    </xf>
    <xf numFmtId="9" fontId="3" fillId="21" borderId="35" xfId="0" applyNumberFormat="1" applyFont="1" applyFill="1" applyBorder="1" applyAlignment="1">
      <alignment vertical="center"/>
    </xf>
    <xf numFmtId="9" fontId="3" fillId="45" borderId="74" xfId="0" applyNumberFormat="1" applyFont="1" applyFill="1" applyBorder="1" applyAlignment="1">
      <alignment horizontal="center" vertical="center" wrapText="1"/>
    </xf>
    <xf numFmtId="9" fontId="3" fillId="45" borderId="75" xfId="0" applyNumberFormat="1" applyFont="1" applyFill="1" applyBorder="1" applyAlignment="1">
      <alignment horizontal="center" vertical="center" wrapText="1"/>
    </xf>
    <xf numFmtId="9" fontId="3" fillId="45" borderId="75" xfId="0" applyNumberFormat="1" applyFont="1" applyFill="1" applyBorder="1" applyAlignment="1">
      <alignment vertical="center" wrapText="1"/>
    </xf>
    <xf numFmtId="9" fontId="3" fillId="45" borderId="76" xfId="0" applyNumberFormat="1" applyFont="1" applyFill="1" applyBorder="1" applyAlignment="1">
      <alignment vertical="center" wrapText="1"/>
    </xf>
    <xf numFmtId="0" fontId="3" fillId="21" borderId="0" xfId="0" applyFont="1" applyFill="1" applyAlignment="1">
      <alignment vertical="center" wrapText="1"/>
    </xf>
    <xf numFmtId="0" fontId="3" fillId="0" borderId="0" xfId="0" applyFont="1" applyAlignment="1">
      <alignment horizontal="center" vertical="center" wrapText="1"/>
    </xf>
    <xf numFmtId="0" fontId="3" fillId="0" borderId="66" xfId="0" applyFont="1" applyBorder="1" applyAlignment="1" applyProtection="1">
      <alignment horizontal="center" vertical="center" wrapText="1"/>
      <protection locked="0"/>
    </xf>
    <xf numFmtId="0" fontId="38" fillId="0" borderId="63" xfId="4" applyFont="1" applyBorder="1" applyAlignment="1">
      <alignment vertical="center" wrapText="1"/>
    </xf>
    <xf numFmtId="9" fontId="3" fillId="0" borderId="35" xfId="3" applyFont="1" applyFill="1" applyBorder="1" applyAlignment="1">
      <alignment horizontal="center" vertical="center"/>
    </xf>
    <xf numFmtId="9" fontId="3" fillId="0" borderId="35" xfId="0" applyNumberFormat="1" applyFont="1" applyBorder="1" applyAlignment="1">
      <alignment vertical="center"/>
    </xf>
    <xf numFmtId="0" fontId="3" fillId="17" borderId="63" xfId="0" applyFont="1" applyFill="1" applyBorder="1" applyAlignment="1">
      <alignment vertical="center" wrapText="1"/>
    </xf>
    <xf numFmtId="0" fontId="8" fillId="17" borderId="63" xfId="0" applyFont="1" applyFill="1" applyBorder="1" applyAlignment="1">
      <alignment vertical="center" wrapText="1"/>
    </xf>
    <xf numFmtId="0" fontId="3" fillId="17" borderId="63" xfId="0" applyFont="1" applyFill="1" applyBorder="1" applyAlignment="1">
      <alignment horizontal="justify" vertical="center" wrapText="1"/>
    </xf>
    <xf numFmtId="0" fontId="8" fillId="21" borderId="63" xfId="0" applyFont="1" applyFill="1" applyBorder="1" applyAlignment="1">
      <alignment vertical="center" wrapText="1"/>
    </xf>
    <xf numFmtId="0" fontId="8" fillId="21" borderId="63" xfId="0" applyFont="1" applyFill="1" applyBorder="1" applyAlignment="1">
      <alignment horizontal="center" vertical="center" wrapText="1"/>
    </xf>
    <xf numFmtId="0" fontId="8" fillId="21" borderId="63" xfId="0" applyFont="1" applyFill="1" applyBorder="1" applyAlignment="1" applyProtection="1">
      <alignment horizontal="justify" vertical="center"/>
      <protection locked="0"/>
    </xf>
    <xf numFmtId="0" fontId="8" fillId="21" borderId="63" xfId="0" applyFont="1" applyFill="1" applyBorder="1" applyAlignment="1" applyProtection="1">
      <alignment horizontal="left" vertical="center"/>
      <protection locked="0"/>
    </xf>
    <xf numFmtId="166" fontId="8" fillId="21" borderId="63" xfId="0" applyNumberFormat="1" applyFont="1" applyFill="1" applyBorder="1" applyAlignment="1">
      <alignment horizontal="center" vertical="center" wrapText="1"/>
    </xf>
    <xf numFmtId="1" fontId="8" fillId="21" borderId="63" xfId="0" applyNumberFormat="1" applyFont="1" applyFill="1" applyBorder="1" applyAlignment="1">
      <alignment horizontal="center" vertical="center" wrapText="1"/>
    </xf>
    <xf numFmtId="1" fontId="8" fillId="21" borderId="63" xfId="3" applyNumberFormat="1" applyFont="1" applyFill="1" applyBorder="1" applyAlignment="1" applyProtection="1">
      <alignment horizontal="center" vertical="center"/>
      <protection locked="0"/>
    </xf>
    <xf numFmtId="165" fontId="4" fillId="21" borderId="63" xfId="3" applyNumberFormat="1" applyFont="1" applyFill="1" applyBorder="1" applyAlignment="1" applyProtection="1">
      <alignment horizontal="center" vertical="center" wrapText="1"/>
      <protection locked="0"/>
    </xf>
    <xf numFmtId="0" fontId="8" fillId="21" borderId="63" xfId="0" applyFont="1" applyFill="1" applyBorder="1" applyAlignment="1" applyProtection="1">
      <alignment horizontal="center" vertical="center" wrapText="1"/>
      <protection locked="0"/>
    </xf>
    <xf numFmtId="0" fontId="4" fillId="21" borderId="66" xfId="0" applyFont="1" applyFill="1" applyBorder="1" applyAlignment="1">
      <alignment vertical="center" wrapText="1"/>
    </xf>
    <xf numFmtId="0" fontId="4" fillId="21" borderId="63" xfId="0" applyFont="1" applyFill="1" applyBorder="1" applyAlignment="1">
      <alignment vertical="center" wrapText="1"/>
    </xf>
    <xf numFmtId="2" fontId="8" fillId="21" borderId="63" xfId="0" applyNumberFormat="1" applyFont="1" applyFill="1" applyBorder="1" applyAlignment="1">
      <alignment vertical="center" wrapText="1"/>
    </xf>
    <xf numFmtId="1" fontId="8" fillId="21" borderId="63" xfId="0" applyNumberFormat="1" applyFont="1" applyFill="1" applyBorder="1" applyAlignment="1">
      <alignment horizontal="center" vertical="center"/>
    </xf>
    <xf numFmtId="9" fontId="8" fillId="21" borderId="35" xfId="3" applyFont="1" applyFill="1" applyBorder="1" applyAlignment="1">
      <alignment horizontal="center" vertical="center"/>
    </xf>
    <xf numFmtId="9" fontId="8" fillId="21" borderId="35" xfId="0" applyNumberFormat="1" applyFont="1" applyFill="1" applyBorder="1" applyAlignment="1">
      <alignment vertical="center"/>
    </xf>
    <xf numFmtId="0" fontId="4" fillId="21" borderId="0" xfId="0" applyFont="1" applyFill="1" applyAlignment="1">
      <alignment vertical="center" wrapText="1"/>
    </xf>
    <xf numFmtId="0" fontId="3" fillId="21" borderId="63" xfId="0" applyFont="1" applyFill="1" applyBorder="1" applyAlignment="1">
      <alignment horizontal="justify" vertical="center" wrapText="1"/>
    </xf>
    <xf numFmtId="0" fontId="2" fillId="21" borderId="63" xfId="4" applyFont="1" applyFill="1" applyBorder="1" applyAlignment="1">
      <alignment horizontal="center" vertical="center" wrapText="1"/>
    </xf>
    <xf numFmtId="0" fontId="8" fillId="21" borderId="63" xfId="0" applyFont="1" applyFill="1" applyBorder="1" applyAlignment="1" applyProtection="1">
      <alignment horizontal="justify" vertical="center" wrapText="1"/>
      <protection locked="0"/>
    </xf>
    <xf numFmtId="0" fontId="8" fillId="21" borderId="63" xfId="0" applyFont="1" applyFill="1" applyBorder="1" applyAlignment="1" applyProtection="1">
      <alignment vertical="center" wrapText="1"/>
      <protection locked="0"/>
    </xf>
    <xf numFmtId="1" fontId="8" fillId="21" borderId="63" xfId="0" applyNumberFormat="1" applyFont="1" applyFill="1" applyBorder="1" applyAlignment="1">
      <alignment horizontal="justify" vertical="center" wrapText="1"/>
    </xf>
    <xf numFmtId="9" fontId="3" fillId="21" borderId="74" xfId="0" applyNumberFormat="1" applyFont="1" applyFill="1" applyBorder="1" applyAlignment="1">
      <alignment horizontal="center" vertical="center" wrapText="1"/>
    </xf>
    <xf numFmtId="9" fontId="3" fillId="21" borderId="75" xfId="0" applyNumberFormat="1" applyFont="1" applyFill="1" applyBorder="1" applyAlignment="1">
      <alignment horizontal="center" vertical="center" wrapText="1"/>
    </xf>
    <xf numFmtId="9" fontId="3" fillId="21" borderId="75" xfId="0" applyNumberFormat="1" applyFont="1" applyFill="1" applyBorder="1" applyAlignment="1">
      <alignment vertical="center" wrapText="1"/>
    </xf>
    <xf numFmtId="9" fontId="3" fillId="21" borderId="76" xfId="0" applyNumberFormat="1" applyFont="1" applyFill="1" applyBorder="1" applyAlignment="1">
      <alignment vertical="center" wrapText="1"/>
    </xf>
    <xf numFmtId="0" fontId="8" fillId="21" borderId="63" xfId="0" applyFont="1" applyFill="1" applyBorder="1" applyAlignment="1">
      <alignment horizontal="justify" vertical="center" wrapText="1"/>
    </xf>
    <xf numFmtId="9" fontId="8" fillId="21" borderId="63" xfId="3" applyFont="1" applyFill="1" applyBorder="1" applyAlignment="1">
      <alignment horizontal="center" vertical="center" wrapText="1"/>
    </xf>
    <xf numFmtId="1" fontId="8" fillId="21" borderId="63" xfId="0" applyNumberFormat="1" applyFont="1" applyFill="1" applyBorder="1" applyAlignment="1" applyProtection="1">
      <alignment horizontal="center" vertical="center"/>
      <protection locked="0"/>
    </xf>
    <xf numFmtId="1" fontId="8" fillId="21" borderId="63" xfId="0" applyNumberFormat="1" applyFont="1" applyFill="1" applyBorder="1" applyAlignment="1" applyProtection="1">
      <alignment horizontal="center" vertical="center" wrapText="1"/>
      <protection locked="0"/>
    </xf>
    <xf numFmtId="1" fontId="8" fillId="21" borderId="63" xfId="3" applyNumberFormat="1" applyFont="1" applyFill="1" applyBorder="1" applyAlignment="1" applyProtection="1">
      <alignment horizontal="center" vertical="center" wrapText="1"/>
      <protection locked="0"/>
    </xf>
    <xf numFmtId="2" fontId="8" fillId="21" borderId="63" xfId="0" applyNumberFormat="1" applyFont="1" applyFill="1" applyBorder="1" applyAlignment="1">
      <alignment horizontal="center" vertical="center" wrapText="1"/>
    </xf>
    <xf numFmtId="0" fontId="4" fillId="21" borderId="66" xfId="0" applyFont="1" applyFill="1" applyBorder="1" applyAlignment="1" applyProtection="1">
      <alignment vertical="center" wrapText="1"/>
      <protection locked="0"/>
    </xf>
    <xf numFmtId="2" fontId="8" fillId="21" borderId="63" xfId="0" applyNumberFormat="1" applyFont="1" applyFill="1" applyBorder="1" applyAlignment="1">
      <alignment horizontal="center" vertical="center"/>
    </xf>
    <xf numFmtId="0" fontId="2" fillId="21" borderId="63" xfId="4" applyFont="1" applyFill="1" applyBorder="1" applyAlignment="1">
      <alignment horizontal="center" vertical="center"/>
    </xf>
    <xf numFmtId="0" fontId="8" fillId="21" borderId="63" xfId="0" applyFont="1" applyFill="1" applyBorder="1" applyAlignment="1" applyProtection="1">
      <alignment vertical="center"/>
      <protection locked="0"/>
    </xf>
    <xf numFmtId="0" fontId="4" fillId="21" borderId="66" xfId="0" applyFont="1" applyFill="1" applyBorder="1" applyAlignment="1" applyProtection="1">
      <alignment wrapText="1"/>
      <protection locked="0"/>
    </xf>
    <xf numFmtId="0" fontId="8" fillId="21" borderId="63" xfId="0" applyFont="1" applyFill="1" applyBorder="1" applyAlignment="1">
      <alignment horizontal="center" vertical="center"/>
    </xf>
    <xf numFmtId="0" fontId="2" fillId="21" borderId="63" xfId="4" applyFont="1" applyFill="1" applyBorder="1" applyAlignment="1">
      <alignment vertical="center"/>
    </xf>
    <xf numFmtId="9" fontId="8" fillId="21" borderId="63" xfId="2" applyNumberFormat="1" applyFont="1" applyFill="1" applyBorder="1" applyAlignment="1" applyProtection="1">
      <alignment horizontal="center" vertical="center" wrapText="1"/>
      <protection locked="0"/>
    </xf>
    <xf numFmtId="9" fontId="4" fillId="21" borderId="66" xfId="3" applyFont="1" applyFill="1" applyBorder="1" applyAlignment="1" applyProtection="1">
      <alignment horizontal="center" vertical="center" wrapText="1"/>
      <protection locked="0"/>
    </xf>
    <xf numFmtId="9" fontId="8" fillId="21" borderId="63" xfId="0" applyNumberFormat="1" applyFont="1" applyFill="1" applyBorder="1" applyAlignment="1">
      <alignment horizontal="justify" vertical="center" wrapText="1"/>
    </xf>
    <xf numFmtId="0" fontId="8" fillId="21" borderId="63" xfId="0" applyFont="1" applyFill="1" applyBorder="1" applyAlignment="1" applyProtection="1">
      <alignment horizontal="justify" vertical="center" wrapText="1" readingOrder="1"/>
      <protection locked="0"/>
    </xf>
    <xf numFmtId="9" fontId="8" fillId="21" borderId="63" xfId="2" applyNumberFormat="1" applyFont="1" applyFill="1" applyBorder="1" applyAlignment="1" applyProtection="1">
      <alignment horizontal="center" vertical="center"/>
      <protection locked="0"/>
    </xf>
    <xf numFmtId="9" fontId="8" fillId="21" borderId="63" xfId="2" applyNumberFormat="1" applyFont="1" applyFill="1" applyBorder="1" applyAlignment="1" applyProtection="1">
      <alignment horizontal="left" vertical="center"/>
      <protection locked="0"/>
    </xf>
    <xf numFmtId="1" fontId="43" fillId="0" borderId="35" xfId="0" applyNumberFormat="1" applyFont="1" applyBorder="1" applyAlignment="1">
      <alignment horizontal="center" vertical="center" wrapText="1"/>
    </xf>
    <xf numFmtId="0" fontId="43" fillId="0" borderId="35" xfId="0" applyFont="1" applyBorder="1" applyAlignment="1">
      <alignment horizontal="center" vertical="center" wrapText="1"/>
    </xf>
    <xf numFmtId="1" fontId="43" fillId="0" borderId="35" xfId="3" applyNumberFormat="1" applyFont="1" applyFill="1" applyBorder="1" applyAlignment="1" applyProtection="1">
      <alignment horizontal="center" vertical="center" wrapText="1"/>
      <protection locked="0"/>
    </xf>
    <xf numFmtId="2" fontId="43" fillId="0" borderId="35" xfId="0" applyNumberFormat="1" applyFont="1" applyBorder="1" applyAlignment="1">
      <alignment horizontal="center" vertical="center" wrapText="1"/>
    </xf>
    <xf numFmtId="0" fontId="44" fillId="46" borderId="35" xfId="0" applyFont="1" applyFill="1" applyBorder="1" applyAlignment="1" applyProtection="1">
      <alignment horizontal="center" vertical="center"/>
      <protection locked="0"/>
    </xf>
    <xf numFmtId="2" fontId="43" fillId="4" borderId="35" xfId="0" applyNumberFormat="1" applyFont="1" applyFill="1" applyBorder="1" applyAlignment="1">
      <alignment horizontal="center" vertical="center" wrapText="1"/>
    </xf>
    <xf numFmtId="0" fontId="44" fillId="21" borderId="35" xfId="0" applyFont="1" applyFill="1" applyBorder="1" applyAlignment="1" applyProtection="1">
      <alignment horizontal="center" vertical="center"/>
      <protection locked="0"/>
    </xf>
    <xf numFmtId="0" fontId="43" fillId="0" borderId="35" xfId="0" applyFont="1" applyBorder="1" applyAlignment="1">
      <alignment horizontal="center" vertical="center"/>
    </xf>
    <xf numFmtId="1" fontId="43" fillId="0" borderId="35" xfId="0" applyNumberFormat="1" applyFont="1" applyBorder="1" applyAlignment="1" applyProtection="1">
      <alignment horizontal="center" vertical="center" wrapText="1"/>
      <protection locked="0"/>
    </xf>
    <xf numFmtId="1" fontId="43" fillId="0" borderId="35" xfId="0" applyNumberFormat="1" applyFont="1" applyBorder="1" applyAlignment="1" applyProtection="1">
      <alignment horizontal="center" vertical="center"/>
      <protection locked="0"/>
    </xf>
    <xf numFmtId="2" fontId="43" fillId="0" borderId="35" xfId="3" applyNumberFormat="1" applyFont="1" applyFill="1" applyBorder="1" applyAlignment="1" applyProtection="1">
      <alignment horizontal="center" vertical="center"/>
      <protection locked="0"/>
    </xf>
    <xf numFmtId="166" fontId="43" fillId="0" borderId="35" xfId="0" applyNumberFormat="1" applyFont="1" applyBorder="1" applyAlignment="1" applyProtection="1">
      <alignment horizontal="center" vertical="center"/>
      <protection locked="0"/>
    </xf>
    <xf numFmtId="1" fontId="43" fillId="4" borderId="35" xfId="0" applyNumberFormat="1" applyFont="1" applyFill="1" applyBorder="1" applyAlignment="1">
      <alignment horizontal="center" vertical="center" wrapText="1"/>
    </xf>
    <xf numFmtId="1" fontId="43" fillId="0" borderId="35" xfId="3" applyNumberFormat="1" applyFont="1" applyFill="1" applyBorder="1" applyAlignment="1" applyProtection="1">
      <alignment horizontal="center" vertical="center"/>
      <protection locked="0"/>
    </xf>
    <xf numFmtId="1" fontId="43" fillId="4" borderId="35" xfId="3" applyNumberFormat="1" applyFont="1" applyFill="1" applyBorder="1" applyAlignment="1" applyProtection="1">
      <alignment horizontal="center" vertical="center"/>
      <protection locked="0"/>
    </xf>
    <xf numFmtId="0" fontId="43" fillId="4" borderId="35" xfId="0" applyFont="1" applyFill="1" applyBorder="1" applyAlignment="1">
      <alignment horizontal="center" vertical="center" wrapText="1"/>
    </xf>
    <xf numFmtId="0" fontId="44" fillId="0" borderId="35" xfId="0" applyFont="1" applyBorder="1" applyAlignment="1">
      <alignment horizontal="center" vertical="center"/>
    </xf>
    <xf numFmtId="0" fontId="44" fillId="21" borderId="35" xfId="0" applyFont="1" applyFill="1" applyBorder="1" applyAlignment="1">
      <alignment horizontal="center" vertical="center"/>
    </xf>
    <xf numFmtId="0" fontId="11" fillId="0" borderId="0" xfId="0" applyFont="1" applyAlignment="1">
      <alignment horizontal="center" vertical="center" wrapText="1"/>
    </xf>
    <xf numFmtId="0" fontId="11" fillId="8" borderId="37" xfId="0" applyFont="1" applyFill="1" applyBorder="1" applyAlignment="1">
      <alignment horizontal="center" vertical="center" wrapText="1"/>
    </xf>
    <xf numFmtId="0" fontId="11" fillId="8" borderId="0" xfId="0" applyFont="1" applyFill="1" applyAlignment="1">
      <alignment horizontal="center" vertical="center" wrapText="1"/>
    </xf>
    <xf numFmtId="0" fontId="44" fillId="8" borderId="35" xfId="0" applyFont="1" applyFill="1" applyBorder="1" applyAlignment="1" applyProtection="1">
      <alignment horizontal="center" vertical="center"/>
      <protection locked="0"/>
    </xf>
    <xf numFmtId="9" fontId="3" fillId="21" borderId="63" xfId="2" applyNumberFormat="1" applyFont="1" applyFill="1" applyBorder="1" applyAlignment="1" applyProtection="1">
      <alignment horizontal="center" vertical="center"/>
      <protection locked="0"/>
    </xf>
    <xf numFmtId="1" fontId="43" fillId="21" borderId="35" xfId="3" applyNumberFormat="1" applyFont="1" applyFill="1" applyBorder="1" applyAlignment="1" applyProtection="1">
      <alignment horizontal="center" vertical="center"/>
      <protection locked="0"/>
    </xf>
    <xf numFmtId="0" fontId="3" fillId="21" borderId="63" xfId="0" applyFont="1" applyFill="1" applyBorder="1" applyAlignment="1">
      <alignment horizontal="center" vertical="center"/>
    </xf>
    <xf numFmtId="0" fontId="43" fillId="21" borderId="35" xfId="0" applyFont="1" applyFill="1" applyBorder="1" applyAlignment="1">
      <alignment horizontal="center" vertical="center" wrapText="1"/>
    </xf>
    <xf numFmtId="9" fontId="3" fillId="21" borderId="66" xfId="3" applyFont="1" applyFill="1" applyBorder="1" applyAlignment="1" applyProtection="1">
      <alignment horizontal="center" vertical="center" wrapText="1"/>
      <protection locked="0"/>
    </xf>
    <xf numFmtId="1" fontId="43" fillId="21" borderId="35" xfId="0" applyNumberFormat="1" applyFont="1" applyFill="1" applyBorder="1" applyAlignment="1" applyProtection="1">
      <alignment horizontal="center" vertical="center" wrapText="1"/>
      <protection locked="0"/>
    </xf>
    <xf numFmtId="1" fontId="3" fillId="21" borderId="63" xfId="3" applyNumberFormat="1" applyFont="1" applyFill="1" applyBorder="1" applyAlignment="1" applyProtection="1">
      <alignment horizontal="center" vertical="center" wrapText="1"/>
      <protection locked="0"/>
    </xf>
    <xf numFmtId="1" fontId="43" fillId="21" borderId="35" xfId="0" applyNumberFormat="1" applyFont="1" applyFill="1" applyBorder="1" applyAlignment="1">
      <alignment horizontal="center" vertical="center" wrapText="1"/>
    </xf>
    <xf numFmtId="2" fontId="3" fillId="21" borderId="63" xfId="0" applyNumberFormat="1" applyFont="1" applyFill="1" applyBorder="1" applyAlignment="1">
      <alignment horizontal="center" vertical="center"/>
    </xf>
    <xf numFmtId="1" fontId="3" fillId="21" borderId="63" xfId="0" applyNumberFormat="1" applyFont="1" applyFill="1" applyBorder="1" applyAlignment="1">
      <alignment horizontal="center" vertical="center"/>
    </xf>
    <xf numFmtId="0" fontId="44" fillId="47" borderId="35" xfId="0" applyFont="1" applyFill="1" applyBorder="1" applyAlignment="1" applyProtection="1">
      <alignment horizontal="center" vertical="center"/>
      <protection locked="0"/>
    </xf>
    <xf numFmtId="10" fontId="45" fillId="48" borderId="91" xfId="0" applyNumberFormat="1" applyFont="1" applyFill="1" applyBorder="1" applyAlignment="1">
      <alignment horizontal="center" vertical="center"/>
    </xf>
    <xf numFmtId="165" fontId="45" fillId="48" borderId="91" xfId="0" applyNumberFormat="1" applyFont="1" applyFill="1" applyBorder="1" applyAlignment="1">
      <alignment horizontal="center" vertical="center"/>
    </xf>
    <xf numFmtId="9" fontId="45" fillId="48" borderId="91" xfId="0" applyNumberFormat="1" applyFont="1" applyFill="1" applyBorder="1" applyAlignment="1">
      <alignment horizontal="center" vertical="center"/>
    </xf>
    <xf numFmtId="10" fontId="45" fillId="48" borderId="91" xfId="0" applyNumberFormat="1" applyFont="1" applyFill="1" applyBorder="1" applyAlignment="1">
      <alignment horizontal="center" vertical="center" wrapText="1"/>
    </xf>
    <xf numFmtId="9" fontId="45" fillId="48" borderId="92" xfId="0" applyNumberFormat="1" applyFont="1" applyFill="1" applyBorder="1" applyAlignment="1">
      <alignment horizontal="center" vertical="center"/>
    </xf>
    <xf numFmtId="3" fontId="45" fillId="48" borderId="91" xfId="0" applyNumberFormat="1" applyFont="1" applyFill="1" applyBorder="1" applyAlignment="1">
      <alignment horizontal="center" vertical="center" wrapText="1"/>
    </xf>
    <xf numFmtId="3" fontId="45" fillId="48" borderId="91" xfId="0" applyNumberFormat="1" applyFont="1" applyFill="1" applyBorder="1" applyAlignment="1">
      <alignment horizontal="center" vertical="center"/>
    </xf>
    <xf numFmtId="9" fontId="46" fillId="48" borderId="91" xfId="0" applyNumberFormat="1" applyFont="1" applyFill="1" applyBorder="1" applyAlignment="1">
      <alignment horizontal="center" vertical="center" wrapText="1"/>
    </xf>
    <xf numFmtId="9" fontId="45" fillId="48" borderId="91" xfId="0" applyNumberFormat="1" applyFont="1" applyFill="1" applyBorder="1" applyAlignment="1">
      <alignment horizontal="center" vertical="center" wrapText="1"/>
    </xf>
    <xf numFmtId="3" fontId="47" fillId="48" borderId="91" xfId="0" applyNumberFormat="1" applyFont="1" applyFill="1" applyBorder="1" applyAlignment="1">
      <alignment horizontal="center" vertical="center"/>
    </xf>
    <xf numFmtId="4" fontId="47" fillId="48" borderId="91" xfId="0" applyNumberFormat="1" applyFont="1" applyFill="1" applyBorder="1" applyAlignment="1">
      <alignment horizontal="center" vertical="center"/>
    </xf>
    <xf numFmtId="4" fontId="47" fillId="48" borderId="93" xfId="0" applyNumberFormat="1" applyFont="1" applyFill="1" applyBorder="1" applyAlignment="1">
      <alignment horizontal="center" vertical="center"/>
    </xf>
    <xf numFmtId="9" fontId="47" fillId="48" borderId="91" xfId="0" applyNumberFormat="1" applyFont="1" applyFill="1" applyBorder="1" applyAlignment="1">
      <alignment horizontal="center" vertical="center"/>
    </xf>
    <xf numFmtId="0" fontId="3" fillId="8" borderId="63" xfId="0" applyFont="1" applyFill="1" applyBorder="1" applyAlignment="1" applyProtection="1">
      <alignment horizontal="center" vertical="center"/>
      <protection locked="0"/>
    </xf>
    <xf numFmtId="0" fontId="3" fillId="21" borderId="63" xfId="4" applyFont="1" applyFill="1" applyBorder="1" applyAlignment="1" applyProtection="1">
      <alignment horizontal="center" vertical="center" wrapText="1"/>
      <protection locked="0"/>
    </xf>
    <xf numFmtId="3" fontId="45" fillId="49" borderId="91" xfId="0" applyNumberFormat="1" applyFont="1" applyFill="1" applyBorder="1" applyAlignment="1">
      <alignment horizontal="center" vertical="center" wrapText="1"/>
    </xf>
    <xf numFmtId="0" fontId="44" fillId="0" borderId="35" xfId="0" applyFont="1" applyBorder="1" applyAlignment="1" applyProtection="1">
      <alignment horizontal="center" vertical="center"/>
      <protection locked="0"/>
    </xf>
    <xf numFmtId="3" fontId="45" fillId="0" borderId="91" xfId="0" applyNumberFormat="1" applyFont="1" applyBorder="1" applyAlignment="1">
      <alignment horizontal="center" vertical="center" wrapText="1"/>
    </xf>
    <xf numFmtId="0" fontId="3" fillId="21" borderId="63" xfId="0" applyFont="1" applyFill="1" applyBorder="1" applyAlignment="1" applyProtection="1">
      <alignment horizontal="center" vertical="center" wrapText="1" readingOrder="1"/>
      <protection locked="0"/>
    </xf>
    <xf numFmtId="10" fontId="45" fillId="49" borderId="91" xfId="0" applyNumberFormat="1" applyFont="1" applyFill="1" applyBorder="1" applyAlignment="1">
      <alignment horizontal="center" vertical="center"/>
    </xf>
    <xf numFmtId="1" fontId="3" fillId="21" borderId="63" xfId="0" applyNumberFormat="1" applyFont="1" applyFill="1" applyBorder="1" applyAlignment="1">
      <alignment horizontal="justify" vertical="center" wrapText="1"/>
    </xf>
    <xf numFmtId="10" fontId="45" fillId="0" borderId="91" xfId="0" applyNumberFormat="1" applyFont="1" applyBorder="1" applyAlignment="1">
      <alignment horizontal="center" vertical="center"/>
    </xf>
    <xf numFmtId="0" fontId="3" fillId="0" borderId="0" xfId="0" applyFont="1" applyAlignment="1" applyProtection="1">
      <alignment horizontal="center" vertical="center" wrapText="1"/>
      <protection locked="0"/>
    </xf>
    <xf numFmtId="0" fontId="3" fillId="21" borderId="63" xfId="0" applyFont="1" applyFill="1" applyBorder="1" applyAlignment="1">
      <alignment horizontal="left" vertical="center" wrapText="1"/>
    </xf>
    <xf numFmtId="0" fontId="4" fillId="21" borderId="66" xfId="0" applyFont="1" applyFill="1" applyBorder="1" applyAlignment="1">
      <alignment horizontal="center" vertical="center" wrapText="1"/>
    </xf>
    <xf numFmtId="0" fontId="4" fillId="21" borderId="63" xfId="0" applyFont="1" applyFill="1" applyBorder="1" applyAlignment="1">
      <alignment horizontal="center" vertical="center" wrapText="1"/>
    </xf>
    <xf numFmtId="0" fontId="3" fillId="50" borderId="63" xfId="0" applyFont="1" applyFill="1" applyBorder="1" applyAlignment="1">
      <alignment vertical="center" wrapText="1"/>
    </xf>
    <xf numFmtId="0" fontId="3" fillId="50" borderId="63" xfId="0" applyFont="1" applyFill="1" applyBorder="1" applyAlignment="1">
      <alignment horizontal="justify" vertical="center" wrapText="1"/>
    </xf>
    <xf numFmtId="0" fontId="3" fillId="0" borderId="64" xfId="0" applyFont="1" applyBorder="1" applyAlignment="1">
      <alignment wrapText="1"/>
    </xf>
    <xf numFmtId="2" fontId="23" fillId="10" borderId="55" xfId="3" applyNumberFormat="1" applyFont="1" applyFill="1" applyBorder="1" applyAlignment="1" applyProtection="1">
      <alignment horizontal="center" vertical="center"/>
    </xf>
    <xf numFmtId="10" fontId="45" fillId="48" borderId="92" xfId="0" applyNumberFormat="1" applyFont="1" applyFill="1" applyBorder="1" applyAlignment="1">
      <alignment horizontal="center" vertical="center"/>
    </xf>
    <xf numFmtId="168" fontId="47" fillId="48" borderId="91" xfId="0" applyNumberFormat="1" applyFont="1" applyFill="1" applyBorder="1" applyAlignment="1">
      <alignment horizontal="center" vertical="center"/>
    </xf>
    <xf numFmtId="0" fontId="3" fillId="21" borderId="64" xfId="0" applyFont="1" applyFill="1" applyBorder="1" applyAlignment="1" applyProtection="1">
      <alignment horizontal="center" vertical="center" wrapText="1"/>
      <protection locked="0"/>
    </xf>
    <xf numFmtId="164" fontId="3" fillId="0" borderId="63" xfId="0" applyNumberFormat="1" applyFont="1" applyBorder="1" applyAlignment="1">
      <alignment vertical="center" wrapText="1"/>
    </xf>
    <xf numFmtId="4" fontId="45" fillId="48" borderId="91" xfId="0" applyNumberFormat="1" applyFont="1" applyFill="1" applyBorder="1" applyAlignment="1">
      <alignment horizontal="center" vertical="center"/>
    </xf>
    <xf numFmtId="4" fontId="45" fillId="49" borderId="91" xfId="0" applyNumberFormat="1" applyFont="1" applyFill="1" applyBorder="1" applyAlignment="1">
      <alignment horizontal="center" vertical="center"/>
    </xf>
    <xf numFmtId="3" fontId="45" fillId="21" borderId="91" xfId="0" applyNumberFormat="1" applyFont="1" applyFill="1" applyBorder="1" applyAlignment="1">
      <alignment horizontal="center" vertical="center" wrapText="1"/>
    </xf>
    <xf numFmtId="169" fontId="45" fillId="48" borderId="91" xfId="0" applyNumberFormat="1" applyFont="1" applyFill="1" applyBorder="1" applyAlignment="1">
      <alignment horizontal="center" vertical="center" wrapText="1"/>
    </xf>
    <xf numFmtId="4" fontId="45" fillId="48" borderId="91" xfId="0" applyNumberFormat="1" applyFont="1" applyFill="1" applyBorder="1" applyAlignment="1">
      <alignment horizontal="center" vertical="center" wrapText="1"/>
    </xf>
    <xf numFmtId="165" fontId="47" fillId="48" borderId="91" xfId="0" applyNumberFormat="1" applyFont="1" applyFill="1" applyBorder="1" applyAlignment="1">
      <alignment horizontal="center" vertical="center"/>
    </xf>
    <xf numFmtId="10" fontId="47" fillId="48" borderId="91" xfId="0" applyNumberFormat="1" applyFont="1" applyFill="1" applyBorder="1" applyAlignment="1">
      <alignment horizontal="center" vertical="center"/>
    </xf>
    <xf numFmtId="0" fontId="3" fillId="8" borderId="63" xfId="0" applyFont="1" applyFill="1" applyBorder="1" applyAlignment="1">
      <alignment horizontal="left" vertical="center" wrapText="1"/>
    </xf>
    <xf numFmtId="0" fontId="3" fillId="8" borderId="63" xfId="0" applyFont="1" applyFill="1" applyBorder="1" applyAlignment="1" applyProtection="1">
      <alignment horizontal="left" vertical="center" wrapText="1"/>
      <protection locked="0"/>
    </xf>
    <xf numFmtId="2" fontId="4" fillId="4" borderId="63" xfId="0" applyNumberFormat="1" applyFont="1" applyFill="1" applyBorder="1" applyAlignment="1">
      <alignment horizontal="center" vertical="center" wrapText="1"/>
    </xf>
    <xf numFmtId="9" fontId="47" fillId="49" borderId="91" xfId="0" applyNumberFormat="1" applyFont="1" applyFill="1" applyBorder="1" applyAlignment="1">
      <alignment horizontal="center" vertical="center"/>
    </xf>
    <xf numFmtId="10" fontId="45" fillId="51" borderId="92" xfId="0" applyNumberFormat="1" applyFont="1" applyFill="1" applyBorder="1" applyAlignment="1">
      <alignment horizontal="center" vertical="center"/>
    </xf>
    <xf numFmtId="0" fontId="3" fillId="43" borderId="64" xfId="0" applyFont="1" applyFill="1" applyBorder="1" applyAlignment="1" applyProtection="1">
      <alignment horizontal="center" vertical="center" wrapText="1"/>
      <protection locked="0"/>
    </xf>
    <xf numFmtId="165" fontId="45" fillId="51" borderId="91" xfId="0" applyNumberFormat="1" applyFont="1" applyFill="1" applyBorder="1" applyAlignment="1">
      <alignment horizontal="center" vertical="center"/>
    </xf>
    <xf numFmtId="10" fontId="45" fillId="51" borderId="91" xfId="0" applyNumberFormat="1" applyFont="1" applyFill="1" applyBorder="1" applyAlignment="1">
      <alignment horizontal="center" vertical="center"/>
    </xf>
    <xf numFmtId="9" fontId="45" fillId="51" borderId="92" xfId="0" applyNumberFormat="1" applyFont="1" applyFill="1" applyBorder="1" applyAlignment="1">
      <alignment horizontal="center" vertical="center"/>
    </xf>
    <xf numFmtId="2" fontId="3" fillId="17" borderId="63" xfId="0" applyNumberFormat="1" applyFont="1" applyFill="1" applyBorder="1" applyAlignment="1">
      <alignment horizontal="center" vertical="center" wrapText="1"/>
    </xf>
    <xf numFmtId="1" fontId="3" fillId="17" borderId="63" xfId="0" applyNumberFormat="1" applyFont="1" applyFill="1" applyBorder="1" applyAlignment="1">
      <alignment horizontal="center" vertical="center" wrapText="1"/>
    </xf>
    <xf numFmtId="165" fontId="45" fillId="48" borderId="91" xfId="0" applyNumberFormat="1" applyFont="1" applyFill="1" applyBorder="1" applyAlignment="1">
      <alignment horizontal="center" vertical="center" wrapText="1"/>
    </xf>
    <xf numFmtId="10" fontId="45" fillId="49" borderId="91" xfId="0" applyNumberFormat="1" applyFont="1" applyFill="1" applyBorder="1" applyAlignment="1">
      <alignment horizontal="center" vertical="center" wrapText="1"/>
    </xf>
    <xf numFmtId="166" fontId="3" fillId="17" borderId="63" xfId="0" applyNumberFormat="1" applyFont="1" applyFill="1" applyBorder="1" applyAlignment="1">
      <alignment horizontal="center" vertical="center" wrapText="1"/>
    </xf>
    <xf numFmtId="3" fontId="45" fillId="51" borderId="91" xfId="0" applyNumberFormat="1" applyFont="1" applyFill="1" applyBorder="1" applyAlignment="1">
      <alignment horizontal="center" vertical="center" wrapText="1"/>
    </xf>
    <xf numFmtId="3" fontId="45" fillId="51" borderId="91" xfId="0" applyNumberFormat="1" applyFont="1" applyFill="1" applyBorder="1" applyAlignment="1">
      <alignment horizontal="center" vertical="center"/>
    </xf>
    <xf numFmtId="165" fontId="45" fillId="51" borderId="92" xfId="0" applyNumberFormat="1" applyFont="1" applyFill="1" applyBorder="1" applyAlignment="1">
      <alignment horizontal="center" vertical="center"/>
    </xf>
    <xf numFmtId="9" fontId="45" fillId="51" borderId="91" xfId="0" applyNumberFormat="1" applyFont="1" applyFill="1" applyBorder="1" applyAlignment="1">
      <alignment horizontal="center" vertical="center" wrapText="1"/>
    </xf>
    <xf numFmtId="10" fontId="45" fillId="51" borderId="91" xfId="0" applyNumberFormat="1" applyFont="1" applyFill="1" applyBorder="1" applyAlignment="1">
      <alignment horizontal="center" vertical="center" wrapText="1"/>
    </xf>
    <xf numFmtId="4" fontId="45" fillId="51" borderId="91" xfId="0" applyNumberFormat="1" applyFont="1" applyFill="1" applyBorder="1" applyAlignment="1">
      <alignment horizontal="center" vertical="center"/>
    </xf>
    <xf numFmtId="9" fontId="47" fillId="51" borderId="91" xfId="0" applyNumberFormat="1" applyFont="1" applyFill="1" applyBorder="1" applyAlignment="1">
      <alignment horizontal="center" vertical="center"/>
    </xf>
    <xf numFmtId="9" fontId="45" fillId="51" borderId="91" xfId="0" applyNumberFormat="1" applyFont="1" applyFill="1" applyBorder="1" applyAlignment="1">
      <alignment horizontal="center" vertical="center"/>
    </xf>
    <xf numFmtId="4" fontId="45" fillId="51" borderId="91" xfId="0" applyNumberFormat="1" applyFont="1" applyFill="1" applyBorder="1" applyAlignment="1">
      <alignment horizontal="center" vertical="center" wrapText="1"/>
    </xf>
    <xf numFmtId="169" fontId="45" fillId="51" borderId="91" xfId="0" applyNumberFormat="1" applyFont="1" applyFill="1" applyBorder="1" applyAlignment="1">
      <alignment horizontal="center" vertical="center" wrapText="1"/>
    </xf>
    <xf numFmtId="3" fontId="45" fillId="43" borderId="91" xfId="0" applyNumberFormat="1" applyFont="1" applyFill="1" applyBorder="1" applyAlignment="1">
      <alignment horizontal="center" vertical="center" wrapText="1"/>
    </xf>
    <xf numFmtId="1" fontId="3" fillId="4" borderId="63" xfId="3" applyNumberFormat="1" applyFont="1" applyFill="1" applyBorder="1" applyAlignment="1" applyProtection="1">
      <alignment horizontal="center" vertical="center"/>
      <protection locked="0"/>
    </xf>
    <xf numFmtId="166" fontId="3" fillId="0" borderId="63" xfId="0" applyNumberFormat="1" applyFont="1" applyBorder="1" applyAlignment="1">
      <alignment horizontal="center" vertical="center" wrapText="1"/>
    </xf>
    <xf numFmtId="10" fontId="45" fillId="49" borderId="92" xfId="0" applyNumberFormat="1" applyFont="1" applyFill="1" applyBorder="1" applyAlignment="1">
      <alignment horizontal="center" vertical="center"/>
    </xf>
    <xf numFmtId="9" fontId="45" fillId="49" borderId="92" xfId="0" applyNumberFormat="1" applyFont="1" applyFill="1" applyBorder="1" applyAlignment="1">
      <alignment horizontal="center" vertical="center"/>
    </xf>
    <xf numFmtId="165" fontId="45" fillId="48" borderId="92" xfId="0" applyNumberFormat="1" applyFont="1" applyFill="1" applyBorder="1" applyAlignment="1">
      <alignment horizontal="center" vertical="center"/>
    </xf>
    <xf numFmtId="0" fontId="3" fillId="52" borderId="63" xfId="4" applyFont="1" applyFill="1" applyBorder="1" applyAlignment="1">
      <alignment horizontal="center" vertical="center" wrapText="1"/>
    </xf>
    <xf numFmtId="0" fontId="32" fillId="3" borderId="0" xfId="0" applyFont="1" applyFill="1" applyAlignment="1">
      <alignment horizontal="left" vertical="top" wrapText="1"/>
    </xf>
    <xf numFmtId="0" fontId="36" fillId="11" borderId="0" xfId="0" applyFont="1" applyFill="1" applyAlignment="1">
      <alignment horizontal="center" wrapText="1"/>
    </xf>
    <xf numFmtId="0" fontId="36" fillId="11" borderId="0" xfId="0" applyFont="1" applyFill="1" applyAlignment="1">
      <alignment horizontal="center" vertical="center" wrapText="1"/>
    </xf>
    <xf numFmtId="0" fontId="36" fillId="11" borderId="0" xfId="0" applyFont="1" applyFill="1" applyAlignment="1">
      <alignment horizontal="center" vertical="center"/>
    </xf>
    <xf numFmtId="0" fontId="13" fillId="8" borderId="35" xfId="0" applyFont="1" applyFill="1" applyBorder="1" applyAlignment="1">
      <alignment horizontal="left" vertical="center"/>
    </xf>
    <xf numFmtId="0" fontId="13" fillId="8" borderId="36" xfId="0" applyFont="1" applyFill="1" applyBorder="1" applyAlignment="1">
      <alignment horizontal="left" vertical="center"/>
    </xf>
    <xf numFmtId="0" fontId="18" fillId="3" borderId="35" xfId="0" applyFont="1" applyFill="1" applyBorder="1" applyAlignment="1">
      <alignment horizontal="justify" vertical="center" wrapText="1"/>
    </xf>
    <xf numFmtId="0" fontId="13" fillId="9" borderId="35" xfId="0" applyFont="1" applyFill="1" applyBorder="1" applyAlignment="1">
      <alignment horizontal="left" vertical="center"/>
    </xf>
    <xf numFmtId="0" fontId="13" fillId="9" borderId="36" xfId="0" applyFont="1" applyFill="1" applyBorder="1" applyAlignment="1">
      <alignment horizontal="left" vertical="center"/>
    </xf>
    <xf numFmtId="0" fontId="13" fillId="9" borderId="39" xfId="0" applyFont="1" applyFill="1" applyBorder="1" applyAlignment="1">
      <alignment horizontal="left" wrapText="1"/>
    </xf>
    <xf numFmtId="0" fontId="13" fillId="9" borderId="40" xfId="0" applyFont="1" applyFill="1" applyBorder="1" applyAlignment="1">
      <alignment horizontal="left" wrapText="1"/>
    </xf>
    <xf numFmtId="0" fontId="13" fillId="9" borderId="41" xfId="0" applyFont="1" applyFill="1" applyBorder="1" applyAlignment="1">
      <alignment horizontal="left" wrapText="1"/>
    </xf>
    <xf numFmtId="0" fontId="18" fillId="3" borderId="42" xfId="0" applyFont="1" applyFill="1" applyBorder="1" applyAlignment="1">
      <alignment horizontal="left" vertical="center" wrapText="1"/>
    </xf>
    <xf numFmtId="0" fontId="18" fillId="3" borderId="37" xfId="0" applyFont="1" applyFill="1" applyBorder="1" applyAlignment="1">
      <alignment horizontal="left" vertical="center" wrapText="1"/>
    </xf>
    <xf numFmtId="0" fontId="18" fillId="3" borderId="43" xfId="0" applyFont="1" applyFill="1" applyBorder="1" applyAlignment="1">
      <alignment horizontal="left" vertical="center" wrapText="1"/>
    </xf>
    <xf numFmtId="0" fontId="18" fillId="3" borderId="38" xfId="0" applyFont="1" applyFill="1" applyBorder="1" applyAlignment="1">
      <alignment horizontal="center" vertical="center"/>
    </xf>
    <xf numFmtId="0" fontId="18" fillId="3" borderId="44" xfId="0" applyFont="1" applyFill="1" applyBorder="1" applyAlignment="1">
      <alignment horizontal="center" vertical="center"/>
    </xf>
    <xf numFmtId="0" fontId="9" fillId="9" borderId="38" xfId="0" applyFont="1" applyFill="1" applyBorder="1" applyAlignment="1">
      <alignment horizontal="center"/>
    </xf>
    <xf numFmtId="0" fontId="19" fillId="8" borderId="46" xfId="0" applyFont="1" applyFill="1" applyBorder="1" applyAlignment="1">
      <alignment horizontal="center" vertical="center" wrapText="1"/>
    </xf>
    <xf numFmtId="0" fontId="19" fillId="8" borderId="47" xfId="0" applyFont="1" applyFill="1" applyBorder="1" applyAlignment="1">
      <alignment horizontal="center" vertical="center" wrapText="1"/>
    </xf>
    <xf numFmtId="0" fontId="19" fillId="8" borderId="48" xfId="0" applyFont="1" applyFill="1" applyBorder="1" applyAlignment="1">
      <alignment horizontal="center" vertical="center" wrapText="1"/>
    </xf>
    <xf numFmtId="0" fontId="0" fillId="11" borderId="0" xfId="0" applyFill="1" applyAlignment="1">
      <alignment horizontal="center"/>
    </xf>
    <xf numFmtId="0" fontId="18" fillId="3" borderId="35" xfId="0" applyFont="1" applyFill="1" applyBorder="1" applyAlignment="1" applyProtection="1">
      <alignment horizontal="justify" vertical="center" wrapText="1"/>
      <protection locked="0"/>
    </xf>
    <xf numFmtId="0" fontId="19" fillId="8" borderId="49" xfId="0" applyFont="1" applyFill="1" applyBorder="1" applyAlignment="1">
      <alignment horizontal="center" vertical="center" wrapText="1"/>
    </xf>
    <xf numFmtId="0" fontId="19" fillId="8" borderId="50" xfId="0" applyFont="1" applyFill="1" applyBorder="1" applyAlignment="1">
      <alignment horizontal="center" vertical="center" wrapText="1"/>
    </xf>
    <xf numFmtId="0" fontId="15" fillId="10" borderId="0" xfId="0" applyFont="1" applyFill="1" applyAlignment="1">
      <alignment horizontal="center"/>
    </xf>
    <xf numFmtId="0" fontId="16" fillId="10" borderId="0" xfId="0" applyFont="1" applyFill="1" applyAlignment="1">
      <alignment horizontal="center" vertical="center"/>
    </xf>
    <xf numFmtId="0" fontId="40" fillId="4" borderId="51" xfId="0" applyFont="1" applyFill="1" applyBorder="1" applyAlignment="1">
      <alignment horizontal="left" vertical="center" wrapText="1"/>
    </xf>
    <xf numFmtId="0" fontId="40" fillId="4" borderId="52" xfId="0" applyFont="1" applyFill="1" applyBorder="1" applyAlignment="1">
      <alignment horizontal="left" vertical="center" wrapText="1"/>
    </xf>
    <xf numFmtId="0" fontId="40" fillId="4" borderId="52" xfId="0" applyFont="1" applyFill="1" applyBorder="1" applyAlignment="1">
      <alignment horizontal="center" vertical="center" wrapText="1"/>
    </xf>
    <xf numFmtId="0" fontId="40" fillId="4" borderId="52" xfId="0" applyFont="1" applyFill="1" applyBorder="1" applyAlignment="1">
      <alignment horizontal="justify" vertical="center" wrapText="1"/>
    </xf>
    <xf numFmtId="0" fontId="40" fillId="4" borderId="53" xfId="0" applyFont="1" applyFill="1" applyBorder="1" applyAlignment="1">
      <alignment horizontal="justify" vertical="center" wrapText="1"/>
    </xf>
    <xf numFmtId="0" fontId="40" fillId="4" borderId="52" xfId="0" applyFont="1" applyFill="1" applyBorder="1" applyAlignment="1">
      <alignment horizontal="justify" vertical="center"/>
    </xf>
    <xf numFmtId="1" fontId="23" fillId="10" borderId="60" xfId="2" applyNumberFormat="1" applyFont="1" applyFill="1" applyBorder="1" applyAlignment="1" applyProtection="1">
      <alignment horizontal="center" vertical="center"/>
    </xf>
    <xf numFmtId="1" fontId="23" fillId="10" borderId="61" xfId="2" applyNumberFormat="1" applyFont="1" applyFill="1" applyBorder="1" applyAlignment="1" applyProtection="1">
      <alignment horizontal="center" vertical="center"/>
    </xf>
    <xf numFmtId="0" fontId="21" fillId="10" borderId="59" xfId="0" applyFont="1" applyFill="1" applyBorder="1" applyAlignment="1">
      <alignment horizontal="right" vertical="center"/>
    </xf>
    <xf numFmtId="0" fontId="23" fillId="10" borderId="57" xfId="2" applyNumberFormat="1" applyFont="1" applyFill="1" applyBorder="1" applyAlignment="1" applyProtection="1">
      <alignment horizontal="center" vertical="center"/>
    </xf>
    <xf numFmtId="0" fontId="23" fillId="10" borderId="58" xfId="2" applyNumberFormat="1" applyFont="1" applyFill="1" applyBorder="1" applyAlignment="1" applyProtection="1">
      <alignment horizontal="center" vertical="center"/>
    </xf>
    <xf numFmtId="0" fontId="17" fillId="3" borderId="0" xfId="0" applyFont="1" applyFill="1" applyAlignment="1">
      <alignment horizontal="center" vertical="center"/>
    </xf>
    <xf numFmtId="0" fontId="34" fillId="3" borderId="56" xfId="0" applyFont="1" applyFill="1" applyBorder="1" applyAlignment="1" applyProtection="1">
      <alignment horizontal="left" vertical="center"/>
      <protection locked="0" hidden="1"/>
    </xf>
    <xf numFmtId="0" fontId="28" fillId="10" borderId="0" xfId="0" applyFont="1" applyFill="1" applyAlignment="1">
      <alignment horizontal="center" vertical="top" wrapText="1"/>
    </xf>
    <xf numFmtId="0" fontId="0" fillId="2" borderId="0" xfId="0" applyFill="1" applyAlignment="1">
      <alignment horizontal="center"/>
    </xf>
    <xf numFmtId="0" fontId="18" fillId="4" borderId="51" xfId="0" applyFont="1" applyFill="1" applyBorder="1" applyAlignment="1">
      <alignment horizontal="left" vertical="center" wrapText="1"/>
    </xf>
    <xf numFmtId="0" fontId="18" fillId="4" borderId="52" xfId="0" applyFont="1" applyFill="1" applyBorder="1" applyAlignment="1">
      <alignment horizontal="left" vertical="center" wrapText="1"/>
    </xf>
    <xf numFmtId="0" fontId="18" fillId="4" borderId="52" xfId="0" applyFont="1" applyFill="1" applyBorder="1" applyAlignment="1">
      <alignment horizontal="center" vertical="center" wrapText="1"/>
    </xf>
    <xf numFmtId="0" fontId="18" fillId="4" borderId="52" xfId="0" applyFont="1" applyFill="1" applyBorder="1" applyAlignment="1">
      <alignment horizontal="justify" vertical="center" wrapText="1"/>
    </xf>
    <xf numFmtId="0" fontId="18" fillId="4" borderId="53" xfId="0" applyFont="1" applyFill="1" applyBorder="1" applyAlignment="1">
      <alignment horizontal="justify" vertical="center" wrapText="1"/>
    </xf>
    <xf numFmtId="0" fontId="35" fillId="37" borderId="0" xfId="0" applyFont="1" applyFill="1" applyAlignment="1">
      <alignment horizontal="center" vertical="center" wrapText="1"/>
    </xf>
    <xf numFmtId="0" fontId="18" fillId="4" borderId="52" xfId="0" applyFont="1" applyFill="1" applyBorder="1" applyAlignment="1">
      <alignment horizontal="justify" vertical="center"/>
    </xf>
    <xf numFmtId="0" fontId="35" fillId="37" borderId="0" xfId="0" applyFont="1" applyFill="1" applyAlignment="1">
      <alignment horizontal="center" vertical="center"/>
    </xf>
    <xf numFmtId="0" fontId="35" fillId="37" borderId="0" xfId="0" applyFont="1" applyFill="1" applyAlignment="1">
      <alignment horizontal="center" wrapText="1"/>
    </xf>
    <xf numFmtId="0" fontId="36" fillId="37" borderId="0" xfId="0" applyFont="1" applyFill="1" applyAlignment="1">
      <alignment horizontal="center" wrapText="1"/>
    </xf>
    <xf numFmtId="0" fontId="0" fillId="37" borderId="0" xfId="0" applyFill="1" applyAlignment="1">
      <alignment horizontal="center"/>
    </xf>
    <xf numFmtId="0" fontId="27" fillId="40" borderId="77" xfId="0" applyFont="1" applyFill="1" applyBorder="1" applyAlignment="1">
      <alignment horizontal="center"/>
    </xf>
    <xf numFmtId="0" fontId="27" fillId="40" borderId="78" xfId="0" applyFont="1" applyFill="1" applyBorder="1" applyAlignment="1">
      <alignment horizontal="center"/>
    </xf>
    <xf numFmtId="0" fontId="27" fillId="40" borderId="79" xfId="0" applyFont="1" applyFill="1" applyBorder="1" applyAlignment="1">
      <alignment horizontal="center"/>
    </xf>
    <xf numFmtId="0" fontId="27" fillId="40" borderId="35" xfId="0" applyFont="1" applyFill="1" applyBorder="1" applyAlignment="1">
      <alignment horizontal="center"/>
    </xf>
    <xf numFmtId="0" fontId="27" fillId="40" borderId="36" xfId="0" applyFont="1" applyFill="1" applyBorder="1" applyAlignment="1">
      <alignment horizontal="center"/>
    </xf>
    <xf numFmtId="0" fontId="27" fillId="3" borderId="77" xfId="0" applyFont="1" applyFill="1" applyBorder="1" applyAlignment="1">
      <alignment horizontal="center"/>
    </xf>
    <xf numFmtId="0" fontId="27" fillId="3" borderId="78" xfId="0" applyFont="1" applyFill="1" applyBorder="1" applyAlignment="1">
      <alignment horizontal="center"/>
    </xf>
    <xf numFmtId="0" fontId="27" fillId="3" borderId="79" xfId="0" applyFont="1" applyFill="1" applyBorder="1" applyAlignment="1">
      <alignment horizontal="center"/>
    </xf>
    <xf numFmtId="0" fontId="0" fillId="32" borderId="0" xfId="0" applyFill="1" applyAlignment="1">
      <alignment horizontal="center" vertical="center"/>
    </xf>
    <xf numFmtId="0" fontId="0" fillId="33" borderId="0" xfId="0" applyFill="1" applyAlignment="1">
      <alignment horizontal="center" vertical="center"/>
    </xf>
  </cellXfs>
  <cellStyles count="5">
    <cellStyle name="Millares" xfId="1" builtinId="3"/>
    <cellStyle name="Millares [0]" xfId="2" builtinId="6"/>
    <cellStyle name="Normal" xfId="0" builtinId="0"/>
    <cellStyle name="Normal 2" xfId="4" xr:uid="{4DA1AAAF-2D7E-4A19-B0ED-1E5070E31E6B}"/>
    <cellStyle name="Porcentaje" xfId="3" builtinId="5"/>
  </cellStyles>
  <dxfs count="36">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indexed="64"/>
          <bgColor theme="3" tint="0.39997558519241921"/>
        </patternFill>
      </fil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indexed="64"/>
          <bgColor theme="3" tint="0.39997558519241921"/>
        </patternFill>
      </fill>
      <alignment horizontal="general" vertical="bottom" textRotation="0" wrapText="1" indent="0" justifyLastLine="0" shrinkToFit="0" readingOrder="0"/>
    </dxf>
    <dxf>
      <font>
        <sz val="9"/>
        <name val="Century Gothic"/>
        <family val="2"/>
        <scheme val="none"/>
      </font>
      <alignment horizontal="left" vertical="center" textRotation="0" wrapText="1" indent="0" justifyLastLine="0" shrinkToFit="0" readingOrder="0"/>
      <border diagonalUp="0" diagonalDown="0">
        <left style="thin">
          <color theme="1"/>
        </left>
        <right style="thin">
          <color theme="1"/>
        </right>
        <top style="thin">
          <color theme="1"/>
        </top>
        <bottom style="thin">
          <color theme="1"/>
        </bottom>
        <vertical/>
        <horizontal/>
      </border>
    </dxf>
    <dxf>
      <font>
        <sz val="9"/>
        <name val="Century Gothic"/>
        <family val="2"/>
        <scheme val="none"/>
      </font>
      <alignment horizontal="left" vertical="center" textRotation="0" wrapText="1" indent="0" justifyLastLine="0" shrinkToFit="0" readingOrder="0"/>
    </dxf>
    <dxf>
      <fill>
        <patternFill patternType="solid">
          <fgColor indexed="64"/>
          <bgColor theme="3" tint="0.39997558519241921"/>
        </patternFill>
      </fil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indexed="64"/>
          <bgColor theme="3" tint="0.39997558519241921"/>
        </patternFill>
      </fil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indexed="64"/>
          <bgColor theme="3" tint="0.39997558519241921"/>
        </patternFill>
      </fil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indexed="64"/>
          <bgColor theme="3" tint="0.39997558519241921"/>
        </patternFill>
      </fil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indexed="64"/>
          <bgColor theme="3" tint="0.39997558519241921"/>
        </patternFill>
      </fil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indexed="64"/>
          <bgColor theme="3" tint="0.39997558519241921"/>
        </patternFill>
      </fil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indexed="64"/>
          <bgColor theme="3" tint="0.39997558519241921"/>
        </patternFill>
      </fil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indexed="64"/>
          <bgColor theme="3" tint="0.39997558519241921"/>
        </patternFill>
      </fill>
      <alignment horizontal="general" vertical="bottom" textRotation="0" wrapText="1" indent="0" justifyLastLine="0" shrinkToFit="0" readingOrder="0"/>
    </dxf>
    <dxf>
      <font>
        <sz val="9"/>
        <name val="Century Gothic"/>
        <family val="2"/>
        <scheme val="none"/>
      </font>
      <alignment horizontal="left" vertical="center" textRotation="0" wrapText="1" indent="0" justifyLastLine="0" shrinkToFit="0" readingOrder="0"/>
      <border diagonalUp="0" diagonalDown="0">
        <left style="thin">
          <color theme="1"/>
        </left>
        <right style="thin">
          <color theme="1"/>
        </right>
        <top style="thin">
          <color theme="1"/>
        </top>
        <bottom style="thin">
          <color theme="1"/>
        </bottom>
        <vertical/>
        <horizontal/>
      </border>
      <protection locked="0" hidden="0"/>
    </dxf>
    <dxf>
      <font>
        <sz val="9"/>
        <name val="Century Gothic"/>
        <family val="2"/>
        <scheme val="none"/>
      </font>
      <alignment horizontal="left" vertical="center" textRotation="0" wrapText="1" indent="0" justifyLastLine="0" shrinkToFit="0" readingOrder="0"/>
      <protection locked="0" hidden="0"/>
    </dxf>
    <dxf>
      <fill>
        <patternFill patternType="solid">
          <fgColor indexed="64"/>
          <bgColor theme="3" tint="0.39997558519241921"/>
        </patternFill>
      </fil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indexed="64"/>
          <bgColor theme="3" tint="0.39997558519241921"/>
        </patternFill>
      </fill>
      <alignment horizontal="general" vertical="bottom" textRotation="0" wrapText="1" indent="0" justifyLastLine="0" shrinkToFit="0" readingOrder="0"/>
    </dxf>
  </dxfs>
  <tableStyles count="0" defaultTableStyle="TableStyleMedium2" defaultPivotStyle="PivotStyleLight16"/>
  <colors>
    <mruColors>
      <color rgb="FFF60000"/>
      <color rgb="FFFF5757"/>
      <color rgb="FFF3822D"/>
      <color rgb="FFFAC6F8"/>
      <color rgb="FFF274EC"/>
      <color rgb="FFEFA435"/>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openxmlformats.org/officeDocument/2006/relationships/chartUserShapes" Target="../drawings/drawing9.xml"/><Relationship Id="rId1" Type="http://schemas.openxmlformats.org/officeDocument/2006/relationships/themeOverride" Target="../theme/themeOverride5.xml"/></Relationships>
</file>

<file path=xl/charts/_rels/chart11.xml.rels><?xml version="1.0" encoding="UTF-8" standalone="yes"?>
<Relationships xmlns="http://schemas.openxmlformats.org/package/2006/relationships"><Relationship Id="rId2" Type="http://schemas.openxmlformats.org/officeDocument/2006/relationships/chartUserShapes" Target="../drawings/drawing10.xml"/><Relationship Id="rId1" Type="http://schemas.openxmlformats.org/officeDocument/2006/relationships/themeOverride" Target="../theme/themeOverride6.xml"/></Relationships>
</file>

<file path=xl/charts/_rels/chart12.xml.rels><?xml version="1.0" encoding="UTF-8" standalone="yes"?>
<Relationships xmlns="http://schemas.openxmlformats.org/package/2006/relationships"><Relationship Id="rId2" Type="http://schemas.openxmlformats.org/officeDocument/2006/relationships/chartUserShapes" Target="../drawings/drawing11.xml"/><Relationship Id="rId1" Type="http://schemas.openxmlformats.org/officeDocument/2006/relationships/themeOverride" Target="../theme/themeOverride7.xml"/></Relationships>
</file>

<file path=xl/charts/_rels/chart13.xml.rels><?xml version="1.0" encoding="UTF-8" standalone="yes"?>
<Relationships xmlns="http://schemas.openxmlformats.org/package/2006/relationships"><Relationship Id="rId2" Type="http://schemas.openxmlformats.org/officeDocument/2006/relationships/chartUserShapes" Target="../drawings/drawing12.xml"/><Relationship Id="rId1" Type="http://schemas.openxmlformats.org/officeDocument/2006/relationships/themeOverride" Target="../theme/themeOverride8.xml"/></Relationships>
</file>

<file path=xl/charts/_rels/chart14.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5.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6.xml.rels><?xml version="1.0" encoding="UTF-8" standalone="yes"?>
<Relationships xmlns="http://schemas.openxmlformats.org/package/2006/relationships"><Relationship Id="rId2" Type="http://schemas.openxmlformats.org/officeDocument/2006/relationships/chartUserShapes" Target="../drawings/drawing14.xml"/><Relationship Id="rId1" Type="http://schemas.openxmlformats.org/officeDocument/2006/relationships/themeOverride" Target="../theme/themeOverride9.xml"/></Relationships>
</file>

<file path=xl/charts/_rels/chart17.xml.rels><?xml version="1.0" encoding="UTF-8" standalone="yes"?>
<Relationships xmlns="http://schemas.openxmlformats.org/package/2006/relationships"><Relationship Id="rId2" Type="http://schemas.openxmlformats.org/officeDocument/2006/relationships/chartUserShapes" Target="../drawings/drawing15.xml"/><Relationship Id="rId1" Type="http://schemas.openxmlformats.org/officeDocument/2006/relationships/themeOverride" Target="../theme/themeOverride10.xml"/></Relationships>
</file>

<file path=xl/charts/_rels/chart18.xml.rels><?xml version="1.0" encoding="UTF-8" standalone="yes"?>
<Relationships xmlns="http://schemas.openxmlformats.org/package/2006/relationships"><Relationship Id="rId2" Type="http://schemas.openxmlformats.org/officeDocument/2006/relationships/chartUserShapes" Target="../drawings/drawing16.xml"/><Relationship Id="rId1" Type="http://schemas.openxmlformats.org/officeDocument/2006/relationships/themeOverride" Target="../theme/themeOverride11.xml"/></Relationships>
</file>

<file path=xl/charts/_rels/chart19.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0.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8.xml"/><Relationship Id="rId1" Type="http://schemas.microsoft.com/office/2011/relationships/chartStyle" Target="style8.xml"/></Relationships>
</file>

<file path=xl/charts/_rels/chart22.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3.xml.rels><?xml version="1.0" encoding="UTF-8" standalone="yes"?>
<Relationships xmlns="http://schemas.openxmlformats.org/package/2006/relationships"><Relationship Id="rId2" Type="http://schemas.openxmlformats.org/officeDocument/2006/relationships/chartUserShapes" Target="../drawings/drawing19.xml"/><Relationship Id="rId1" Type="http://schemas.openxmlformats.org/officeDocument/2006/relationships/themeOverride" Target="../theme/themeOverride12.xml"/></Relationships>
</file>

<file path=xl/charts/_rels/chart24.xml.rels><?xml version="1.0" encoding="UTF-8" standalone="yes"?>
<Relationships xmlns="http://schemas.openxmlformats.org/package/2006/relationships"><Relationship Id="rId2" Type="http://schemas.openxmlformats.org/officeDocument/2006/relationships/chartUserShapes" Target="../drawings/drawing21.xml"/><Relationship Id="rId1" Type="http://schemas.openxmlformats.org/officeDocument/2006/relationships/themeOverride" Target="../theme/themeOverride13.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openxmlformats.org/officeDocument/2006/relationships/chartUserShapes" Target="../drawings/drawing4.xml"/><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themeOverride" Target="../theme/themeOverride2.xml"/></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3.xml"/></Relationships>
</file>

<file path=xl/charts/_rels/chart9.xml.rels><?xml version="1.0" encoding="UTF-8" standalone="yes"?>
<Relationships xmlns="http://schemas.openxmlformats.org/package/2006/relationships"><Relationship Id="rId2" Type="http://schemas.openxmlformats.org/officeDocument/2006/relationships/chartUserShapes" Target="../drawings/drawing7.xml"/><Relationship Id="rId1" Type="http://schemas.openxmlformats.org/officeDocument/2006/relationships/themeOverride" Target="../theme/themeOverrid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2400" b="1" i="0" u="none" strike="noStrike" kern="1200" baseline="0">
                <a:solidFill>
                  <a:srgbClr val="FFFF00"/>
                </a:solidFill>
                <a:latin typeface="+mn-lt"/>
                <a:ea typeface="+mn-ea"/>
                <a:cs typeface="+mn-cs"/>
              </a:defRPr>
            </a:pPr>
            <a:r>
              <a:rPr lang="es-CO" sz="2400">
                <a:solidFill>
                  <a:srgbClr val="FFFF00"/>
                </a:solidFill>
              </a:rPr>
              <a:t>CANTIDAD</a:t>
            </a:r>
            <a:r>
              <a:rPr lang="es-CO" sz="2400" baseline="0">
                <a:solidFill>
                  <a:srgbClr val="FFFF00"/>
                </a:solidFill>
              </a:rPr>
              <a:t> DE INDICADORES</a:t>
            </a:r>
            <a:endParaRPr lang="es-CO" sz="2400">
              <a:solidFill>
                <a:srgbClr val="FFFF00"/>
              </a:solidFill>
            </a:endParaRPr>
          </a:p>
        </c:rich>
      </c:tx>
      <c:layout>
        <c:manualLayout>
          <c:xMode val="edge"/>
          <c:yMode val="edge"/>
          <c:x val="0.20068370968217286"/>
          <c:y val="3.8343945702646286E-2"/>
        </c:manualLayout>
      </c:layout>
      <c:overlay val="0"/>
      <c:spPr>
        <a:noFill/>
        <a:ln>
          <a:noFill/>
        </a:ln>
        <a:effectLst/>
      </c:spPr>
      <c:txPr>
        <a:bodyPr rot="0" spcFirstLastPara="1" vertOverflow="ellipsis" vert="horz" wrap="square" anchor="ctr" anchorCtr="1"/>
        <a:lstStyle/>
        <a:p>
          <a:pPr>
            <a:defRPr sz="2400" b="1" i="0" u="none" strike="noStrike" kern="1200" baseline="0">
              <a:solidFill>
                <a:srgbClr val="FFFF00"/>
              </a:solidFill>
              <a:latin typeface="+mn-lt"/>
              <a:ea typeface="+mn-ea"/>
              <a:cs typeface="+mn-cs"/>
            </a:defRPr>
          </a:pPr>
          <a:endParaRPr lang="es-CO"/>
        </a:p>
      </c:txPr>
    </c:title>
    <c:autoTitleDeleted val="0"/>
    <c:plotArea>
      <c:layout/>
      <c:doughnutChart>
        <c:varyColors val="1"/>
        <c:ser>
          <c:idx val="0"/>
          <c:order val="0"/>
          <c:dPt>
            <c:idx val="0"/>
            <c:bubble3D val="0"/>
            <c:spPr>
              <a:solidFill>
                <a:schemeClr val="accent4">
                  <a:tint val="77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5FAA-4AD9-BA4A-463B0C178BDA}"/>
              </c:ext>
            </c:extLst>
          </c:dPt>
          <c:dPt>
            <c:idx val="1"/>
            <c:bubble3D val="0"/>
            <c:spPr>
              <a:solidFill>
                <a:schemeClr val="accent4">
                  <a:shade val="76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4E43-483F-A904-00FA3D392C12}"/>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2400" b="1" i="0" u="none" strike="noStrike" kern="1200" baseline="0">
                    <a:solidFill>
                      <a:srgbClr val="FFFF00"/>
                    </a:solidFill>
                    <a:latin typeface="+mn-lt"/>
                    <a:ea typeface="+mn-ea"/>
                    <a:cs typeface="+mn-cs"/>
                  </a:defRPr>
                </a:pPr>
                <a:endParaRPr lang="es-CO"/>
              </a:p>
            </c:txPr>
            <c:showLegendKey val="0"/>
            <c:showVal val="1"/>
            <c:showCatName val="0"/>
            <c:showSerName val="0"/>
            <c:showPercent val="0"/>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'FORMULAS%'!$Q$1:$R$1</c:f>
              <c:strCache>
                <c:ptCount val="2"/>
                <c:pt idx="0">
                  <c:v>Total indicadores Activos</c:v>
                </c:pt>
                <c:pt idx="1">
                  <c:v>Total indicadores  Iactivos</c:v>
                </c:pt>
              </c:strCache>
            </c:strRef>
          </c:cat>
          <c:val>
            <c:numRef>
              <c:f>'FORMULAS%'!$Q$2:$R$2</c:f>
              <c:numCache>
                <c:formatCode>General</c:formatCode>
                <c:ptCount val="2"/>
                <c:pt idx="0">
                  <c:v>64</c:v>
                </c:pt>
                <c:pt idx="1">
                  <c:v>24</c:v>
                </c:pt>
              </c:numCache>
            </c:numRef>
          </c:val>
          <c:extLst>
            <c:ext xmlns:c16="http://schemas.microsoft.com/office/drawing/2014/chart" uri="{C3380CC4-5D6E-409C-BE32-E72D297353CC}">
              <c16:uniqueId val="{00000004-5FAA-4AD9-BA4A-463B0C178BDA}"/>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egendEntry>
        <c:idx val="0"/>
        <c:txPr>
          <a:bodyPr rot="0" spcFirstLastPara="1" vertOverflow="ellipsis" vert="horz" wrap="square" anchor="ctr" anchorCtr="1"/>
          <a:lstStyle/>
          <a:p>
            <a:pPr rtl="0">
              <a:defRPr sz="1800" b="0" i="0" u="none" strike="noStrike" kern="1200" baseline="0">
                <a:solidFill>
                  <a:schemeClr val="tx1"/>
                </a:solidFill>
                <a:latin typeface="+mn-lt"/>
                <a:ea typeface="+mn-ea"/>
                <a:cs typeface="+mn-cs"/>
              </a:defRPr>
            </a:pPr>
            <a:endParaRPr lang="es-CO"/>
          </a:p>
        </c:txPr>
      </c:legendEntry>
      <c:legendEntry>
        <c:idx val="1"/>
        <c:txPr>
          <a:bodyPr rot="0" spcFirstLastPara="1" vertOverflow="ellipsis" vert="horz" wrap="square" anchor="ctr" anchorCtr="1"/>
          <a:lstStyle/>
          <a:p>
            <a:pPr>
              <a:defRPr sz="1800" b="0" i="0" u="none" strike="noStrike" kern="1200" baseline="0">
                <a:solidFill>
                  <a:schemeClr val="tx1"/>
                </a:solidFill>
                <a:latin typeface="+mn-lt"/>
                <a:ea typeface="+mn-ea"/>
                <a:cs typeface="+mn-cs"/>
              </a:defRPr>
            </a:pPr>
            <a:endParaRPr lang="es-CO"/>
          </a:p>
        </c:txPr>
      </c:legendEntry>
      <c:layout>
        <c:manualLayout>
          <c:xMode val="edge"/>
          <c:yMode val="edge"/>
          <c:x val="0.58470042707433389"/>
          <c:y val="0.35548351553628382"/>
          <c:w val="0.40268304805968774"/>
          <c:h val="0.47130312899369253"/>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800" b="0" i="0" u="none" strike="noStrike" kern="1200" baseline="0">
              <a:solidFill>
                <a:schemeClr val="tx1"/>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1">
        <a:lumMod val="60000"/>
        <a:lumOff val="40000"/>
      </a:schemeClr>
    </a:soli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929954245465188"/>
          <c:y val="8.0908500862554869E-2"/>
          <c:w val="0.66941020292555165"/>
          <c:h val="0.8650784839530633"/>
        </c:manualLayout>
      </c:layout>
      <c:doughnutChart>
        <c:varyColors val="1"/>
        <c:ser>
          <c:idx val="0"/>
          <c:order val="0"/>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scene3d>
              <a:camera prst="orthographicFront"/>
              <a:lightRig rig="threePt" dir="t"/>
            </a:scene3d>
            <a:sp3d>
              <a:bevelT w="12700"/>
              <a:bevelB w="12700"/>
            </a:sp3d>
          </c:spPr>
          <c:dPt>
            <c:idx val="0"/>
            <c:bubble3D val="0"/>
            <c:spPr>
              <a:solidFill>
                <a:srgbClr val="FF0000"/>
              </a:solidFill>
              <a:ln>
                <a:noFill/>
              </a:ln>
              <a:scene3d>
                <a:camera prst="orthographicFront"/>
                <a:lightRig rig="threePt" dir="t"/>
              </a:scene3d>
              <a:sp3d>
                <a:bevelT w="12700"/>
                <a:bevelB w="12700"/>
              </a:sp3d>
            </c:spPr>
            <c:extLst>
              <c:ext xmlns:c16="http://schemas.microsoft.com/office/drawing/2014/chart" uri="{C3380CC4-5D6E-409C-BE32-E72D297353CC}">
                <c16:uniqueId val="{00000001-32B2-4D27-A0CF-81A45421B82C}"/>
              </c:ext>
            </c:extLst>
          </c:dPt>
          <c:dPt>
            <c:idx val="1"/>
            <c:bubble3D val="0"/>
            <c:spPr>
              <a:gradFill flip="none" rotWithShape="1">
                <a:gsLst>
                  <a:gs pos="0">
                    <a:srgbClr val="FF0000"/>
                  </a:gs>
                  <a:gs pos="98000">
                    <a:srgbClr val="FF3300"/>
                  </a:gs>
                </a:gsLst>
                <a:path path="circle">
                  <a:fillToRect t="100000" r="100000"/>
                </a:path>
                <a:tileRect l="-100000" b="-100000"/>
              </a:gradFill>
              <a:ln>
                <a:noFill/>
              </a:ln>
              <a:scene3d>
                <a:camera prst="orthographicFront"/>
                <a:lightRig rig="threePt" dir="t"/>
              </a:scene3d>
              <a:sp3d>
                <a:bevelT w="12700"/>
                <a:bevelB w="12700"/>
              </a:sp3d>
            </c:spPr>
            <c:extLst>
              <c:ext xmlns:c16="http://schemas.microsoft.com/office/drawing/2014/chart" uri="{C3380CC4-5D6E-409C-BE32-E72D297353CC}">
                <c16:uniqueId val="{00000003-32B2-4D27-A0CF-81A45421B82C}"/>
              </c:ext>
            </c:extLst>
          </c:dPt>
          <c:dPt>
            <c:idx val="2"/>
            <c:bubble3D val="0"/>
            <c:spPr>
              <a:gradFill flip="none" rotWithShape="1">
                <a:gsLst>
                  <a:gs pos="31000">
                    <a:srgbClr val="FF0000"/>
                  </a:gs>
                  <a:gs pos="80000">
                    <a:schemeClr val="accent4">
                      <a:lumMod val="60000"/>
                      <a:lumOff val="40000"/>
                    </a:schemeClr>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5-32B2-4D27-A0CF-81A45421B82C}"/>
              </c:ext>
            </c:extLst>
          </c:dPt>
          <c:dPt>
            <c:idx val="3"/>
            <c:bubble3D val="0"/>
            <c:spPr>
              <a:gradFill flip="none" rotWithShape="1">
                <a:gsLst>
                  <a:gs pos="0">
                    <a:srgbClr val="FF0000"/>
                  </a:gs>
                  <a:gs pos="81000">
                    <a:srgbClr val="FFC000"/>
                  </a:gs>
                  <a:gs pos="36000">
                    <a:srgbClr val="FFC0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7-32B2-4D27-A0CF-81A45421B82C}"/>
              </c:ext>
            </c:extLst>
          </c:dPt>
          <c:dPt>
            <c:idx val="4"/>
            <c:bubble3D val="0"/>
            <c:spPr>
              <a:gradFill flip="none" rotWithShape="1">
                <a:gsLst>
                  <a:gs pos="0">
                    <a:srgbClr val="FFFF00"/>
                  </a:gs>
                  <a:gs pos="100000">
                    <a:srgbClr val="FFFF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9-32B2-4D27-A0CF-81A45421B82C}"/>
              </c:ext>
            </c:extLst>
          </c:dPt>
          <c:dPt>
            <c:idx val="5"/>
            <c:bubble3D val="0"/>
            <c:spPr>
              <a:gradFill flip="none" rotWithShape="1">
                <a:gsLst>
                  <a:gs pos="0">
                    <a:srgbClr val="FFFF00"/>
                  </a:gs>
                  <a:gs pos="100000">
                    <a:schemeClr val="accent6">
                      <a:lumMod val="30000"/>
                      <a:lumOff val="70000"/>
                    </a:schemeClr>
                  </a:gs>
                </a:gsLst>
                <a:lin ang="27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B-32B2-4D27-A0CF-81A45421B82C}"/>
              </c:ext>
            </c:extLst>
          </c:dPt>
          <c:dPt>
            <c:idx val="6"/>
            <c:bubble3D val="0"/>
            <c:spPr>
              <a:gradFill flip="none" rotWithShape="1">
                <a:gsLst>
                  <a:gs pos="0">
                    <a:schemeClr val="accent6">
                      <a:lumMod val="0"/>
                      <a:lumOff val="100000"/>
                    </a:schemeClr>
                  </a:gs>
                  <a:gs pos="35000">
                    <a:schemeClr val="accent6">
                      <a:lumMod val="0"/>
                      <a:lumOff val="100000"/>
                    </a:schemeClr>
                  </a:gs>
                  <a:gs pos="100000">
                    <a:schemeClr val="accent6">
                      <a:lumMod val="100000"/>
                    </a:schemeClr>
                  </a:gs>
                </a:gsLst>
                <a:path path="circle">
                  <a:fillToRect l="50000" t="-80000" r="50000" b="18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D-32B2-4D27-A0CF-81A45421B82C}"/>
              </c:ext>
            </c:extLst>
          </c:dPt>
          <c:dPt>
            <c:idx val="7"/>
            <c:bubble3D val="0"/>
            <c:spPr>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F-32B2-4D27-A0CF-81A45421B82C}"/>
              </c:ext>
            </c:extLst>
          </c:dPt>
          <c:dPt>
            <c:idx val="8"/>
            <c:bubble3D val="0"/>
            <c:spPr>
              <a:gradFill flip="none" rotWithShape="1">
                <a:gsLst>
                  <a:gs pos="0">
                    <a:schemeClr val="accent6">
                      <a:lumMod val="89000"/>
                    </a:schemeClr>
                  </a:gs>
                  <a:gs pos="23000">
                    <a:schemeClr val="accent6">
                      <a:lumMod val="89000"/>
                    </a:schemeClr>
                  </a:gs>
                  <a:gs pos="69000">
                    <a:schemeClr val="accent6">
                      <a:lumMod val="75000"/>
                    </a:schemeClr>
                  </a:gs>
                  <a:gs pos="97000">
                    <a:schemeClr val="accent6">
                      <a:lumMod val="70000"/>
                    </a:schemeClr>
                  </a:gs>
                </a:gsLst>
                <a:path path="circle">
                  <a:fillToRect l="50000" t="50000" r="50000" b="5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11-32B2-4D27-A0CF-81A45421B82C}"/>
              </c:ext>
            </c:extLst>
          </c:dPt>
          <c:dPt>
            <c:idx val="9"/>
            <c:bubble3D val="0"/>
            <c:spPr>
              <a:solidFill>
                <a:schemeClr val="accent6">
                  <a:lumMod val="75000"/>
                </a:schemeClr>
              </a:solidFill>
              <a:ln>
                <a:noFill/>
              </a:ln>
              <a:scene3d>
                <a:camera prst="orthographicFront"/>
                <a:lightRig rig="threePt" dir="t"/>
              </a:scene3d>
              <a:sp3d>
                <a:bevelT w="12700"/>
                <a:bevelB w="12700"/>
              </a:sp3d>
            </c:spPr>
            <c:extLst>
              <c:ext xmlns:c16="http://schemas.microsoft.com/office/drawing/2014/chart" uri="{C3380CC4-5D6E-409C-BE32-E72D297353CC}">
                <c16:uniqueId val="{00000013-32B2-4D27-A0CF-81A45421B82C}"/>
              </c:ext>
            </c:extLst>
          </c:dPt>
          <c:dPt>
            <c:idx val="10"/>
            <c:bubble3D val="0"/>
            <c:spPr>
              <a:noFill/>
              <a:ln>
                <a:noFill/>
              </a:ln>
              <a:scene3d>
                <a:camera prst="orthographicFront"/>
                <a:lightRig rig="threePt" dir="t"/>
              </a:scene3d>
              <a:sp3d>
                <a:bevelT w="12700"/>
                <a:bevelB w="12700"/>
              </a:sp3d>
            </c:spPr>
            <c:extLst>
              <c:ext xmlns:c16="http://schemas.microsoft.com/office/drawing/2014/chart" uri="{C3380CC4-5D6E-409C-BE32-E72D297353CC}">
                <c16:uniqueId val="{00000015-32B2-4D27-A0CF-81A45421B82C}"/>
              </c:ext>
            </c:extLst>
          </c:dPt>
          <c:dLbls>
            <c:dLbl>
              <c:idx val="0"/>
              <c:layout>
                <c:manualLayout>
                  <c:x val="-4.8359240069084652E-2"/>
                  <c:y val="-9.5011876484560567E-2"/>
                </c:manualLayout>
              </c:layout>
              <c:tx>
                <c:rich>
                  <a:bodyPr/>
                  <a:lstStyle/>
                  <a:p>
                    <a:r>
                      <a:rPr lang="en-US"/>
                      <a:t>10%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32B2-4D27-A0CF-81A45421B82C}"/>
                </c:ext>
              </c:extLst>
            </c:dLbl>
            <c:dLbl>
              <c:idx val="1"/>
              <c:layout>
                <c:manualLayout>
                  <c:x val="-3.223949337938975E-2"/>
                  <c:y val="-0.10768012668250197"/>
                </c:manualLayout>
              </c:layout>
              <c:tx>
                <c:rich>
                  <a:bodyPr/>
                  <a:lstStyle/>
                  <a:p>
                    <a:r>
                      <a:rPr lang="en-US"/>
                      <a:t>20%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32B2-4D27-A0CF-81A45421B82C}"/>
                </c:ext>
              </c:extLst>
            </c:dLbl>
            <c:dLbl>
              <c:idx val="2"/>
              <c:layout>
                <c:manualLayout>
                  <c:x val="-9.2112838226827871E-3"/>
                  <c:y val="-0.10451306413301664"/>
                </c:manualLayout>
              </c:layout>
              <c:tx>
                <c:rich>
                  <a:bodyPr/>
                  <a:lstStyle/>
                  <a:p>
                    <a:r>
                      <a:rPr lang="en-US"/>
                      <a:t>30%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2B2-4D27-A0CF-81A45421B82C}"/>
                </c:ext>
              </c:extLst>
            </c:dLbl>
            <c:dLbl>
              <c:idx val="3"/>
              <c:layout>
                <c:manualLayout>
                  <c:x val="1.8422567645365574E-2"/>
                  <c:y val="-9.5011876484560567E-2"/>
                </c:manualLayout>
              </c:layout>
              <c:tx>
                <c:rich>
                  <a:bodyPr/>
                  <a:lstStyle/>
                  <a:p>
                    <a:r>
                      <a:rPr lang="en-US"/>
                      <a:t>40%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32B2-4D27-A0CF-81A45421B82C}"/>
                </c:ext>
              </c:extLst>
            </c:dLbl>
            <c:dLbl>
              <c:idx val="4"/>
              <c:layout>
                <c:manualLayout>
                  <c:x val="4.8099012715201075E-2"/>
                  <c:y val="-0.10688162397421841"/>
                </c:manualLayout>
              </c:layout>
              <c:tx>
                <c:rich>
                  <a:bodyPr/>
                  <a:lstStyle/>
                  <a:p>
                    <a:r>
                      <a:rPr lang="en-US"/>
                      <a:t>50%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32B2-4D27-A0CF-81A45421B82C}"/>
                </c:ext>
              </c:extLst>
            </c:dLbl>
            <c:dLbl>
              <c:idx val="5"/>
              <c:layout>
                <c:manualLayout>
                  <c:x val="7.5993091537132906E-2"/>
                  <c:y val="-6.320541760722348E-2"/>
                </c:manualLayout>
              </c:layout>
              <c:tx>
                <c:rich>
                  <a:bodyPr/>
                  <a:lstStyle/>
                  <a:p>
                    <a:r>
                      <a:rPr lang="en-US"/>
                      <a:t>60%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32B2-4D27-A0CF-81A45421B82C}"/>
                </c:ext>
              </c:extLst>
            </c:dLbl>
            <c:dLbl>
              <c:idx val="6"/>
              <c:layout>
                <c:manualLayout>
                  <c:x val="9.6718480138169263E-2"/>
                  <c:y val="-3.0097817908201655E-2"/>
                </c:manualLayout>
              </c:layout>
              <c:tx>
                <c:rich>
                  <a:bodyPr/>
                  <a:lstStyle/>
                  <a:p>
                    <a:r>
                      <a:rPr lang="en-US"/>
                      <a:t>70%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32B2-4D27-A0CF-81A45421B82C}"/>
                </c:ext>
              </c:extLst>
            </c:dLbl>
            <c:dLbl>
              <c:idx val="7"/>
              <c:layout>
                <c:manualLayout>
                  <c:x val="9.6718480138169263E-2"/>
                  <c:y val="-1.2039127163280689E-2"/>
                </c:manualLayout>
              </c:layout>
              <c:tx>
                <c:rich>
                  <a:bodyPr/>
                  <a:lstStyle/>
                  <a:p>
                    <a:r>
                      <a:rPr lang="en-US"/>
                      <a:t>80%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32B2-4D27-A0CF-81A45421B82C}"/>
                </c:ext>
              </c:extLst>
            </c:dLbl>
            <c:dLbl>
              <c:idx val="8"/>
              <c:layout>
                <c:manualLayout>
                  <c:x val="8.9810017271157172E-2"/>
                  <c:y val="2.4078254326561323E-2"/>
                </c:manualLayout>
              </c:layout>
              <c:tx>
                <c:rich>
                  <a:bodyPr/>
                  <a:lstStyle/>
                  <a:p>
                    <a:r>
                      <a:rPr lang="en-US"/>
                      <a:t>90%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32B2-4D27-A0CF-81A45421B82C}"/>
                </c:ext>
              </c:extLst>
            </c:dLbl>
            <c:dLbl>
              <c:idx val="9"/>
              <c:layout>
                <c:manualLayout>
                  <c:x val="8.0768545875443812E-2"/>
                  <c:y val="4.2161775062898768E-2"/>
                </c:manualLayout>
              </c:layout>
              <c:tx>
                <c:rich>
                  <a:bodyPr/>
                  <a:lstStyle/>
                  <a:p>
                    <a:r>
                      <a:rPr lang="en-US"/>
                      <a:t>100%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32B2-4D27-A0CF-81A45421B82C}"/>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32B2-4D27-A0CF-81A45421B82C}"/>
                </c:ext>
              </c:extLst>
            </c:dLbl>
            <c:spPr>
              <a:noFill/>
              <a:ln>
                <a:noFill/>
              </a:ln>
              <a:effectLst/>
              <a:scene3d>
                <a:camera prst="orthographicFront"/>
                <a:lightRig rig="threePt" dir="t"/>
              </a:scene3d>
              <a:sp3d>
                <a:bevelT w="6350"/>
              </a:sp3d>
            </c:spPr>
            <c:txPr>
              <a:bodyPr wrap="square" lIns="38100" tIns="19050" rIns="38100" bIns="19050" anchor="ctr">
                <a:spAutoFit/>
              </a:bodyPr>
              <a:lstStyle/>
              <a:p>
                <a:pPr>
                  <a:defRPr sz="1800" b="1">
                    <a:solidFill>
                      <a:srgbClr val="FFFF00"/>
                    </a:solidFill>
                  </a:defRPr>
                </a:pPr>
                <a:endParaRPr lang="es-CO"/>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[2]velocimetro!$A$24:$A$34</c:f>
              <c:strCache>
                <c:ptCount val="11"/>
                <c:pt idx="0">
                  <c:v>#¡REF!</c:v>
                </c:pt>
                <c:pt idx="1">
                  <c:v>#¡REF!</c:v>
                </c:pt>
                <c:pt idx="2">
                  <c:v>#¡REF!</c:v>
                </c:pt>
                <c:pt idx="3">
                  <c:v>#¡REF!</c:v>
                </c:pt>
                <c:pt idx="4">
                  <c:v>#¡REF!</c:v>
                </c:pt>
                <c:pt idx="5">
                  <c:v>#¡REF!</c:v>
                </c:pt>
                <c:pt idx="6">
                  <c:v>#¡REF!</c:v>
                </c:pt>
                <c:pt idx="7">
                  <c:v>#¡REF!</c:v>
                </c:pt>
                <c:pt idx="8">
                  <c:v>#¡REF!</c:v>
                </c:pt>
                <c:pt idx="9">
                  <c:v>#¡REF!</c:v>
                </c:pt>
                <c:pt idx="10">
                  <c:v>#¡REF!</c:v>
                </c:pt>
              </c:strCache>
            </c:strRef>
          </c:cat>
          <c:val>
            <c:numRef>
              <c:f>[3]velocimetro!$B$2:$B$12</c:f>
              <c:numCache>
                <c:formatCode>General</c:formatCode>
                <c:ptCount val="11"/>
              </c:numCache>
            </c:numRef>
          </c:val>
          <c:extLst>
            <c:ext xmlns:c16="http://schemas.microsoft.com/office/drawing/2014/chart" uri="{C3380CC4-5D6E-409C-BE32-E72D297353CC}">
              <c16:uniqueId val="{00000016-32B2-4D27-A0CF-81A45421B82C}"/>
            </c:ext>
          </c:extLst>
        </c:ser>
        <c:dLbls>
          <c:showLegendKey val="0"/>
          <c:showVal val="0"/>
          <c:showCatName val="0"/>
          <c:showSerName val="0"/>
          <c:showPercent val="0"/>
          <c:showBubbleSize val="0"/>
          <c:showLeaderLines val="0"/>
        </c:dLbls>
        <c:firstSliceAng val="270"/>
        <c:holeSize val="70"/>
      </c:doughnutChart>
      <c:scatterChart>
        <c:scatterStyle val="smoothMarker"/>
        <c:varyColors val="0"/>
        <c:ser>
          <c:idx val="1"/>
          <c:order val="1"/>
          <c:marker>
            <c:symbol val="none"/>
          </c:marker>
          <c:xVal>
            <c:numRef>
              <c:f>[5]PLANES!$B$24:$B$25</c:f>
              <c:numCache>
                <c:formatCode>General</c:formatCode>
                <c:ptCount val="2"/>
                <c:pt idx="0">
                  <c:v>0</c:v>
                </c:pt>
                <c:pt idx="1">
                  <c:v>0.12908431653574429</c:v>
                </c:pt>
              </c:numCache>
            </c:numRef>
          </c:xVal>
          <c:yVal>
            <c:numRef>
              <c:f>[5]PLANES!$C$24:$C$25</c:f>
              <c:numCache>
                <c:formatCode>General</c:formatCode>
                <c:ptCount val="2"/>
                <c:pt idx="0">
                  <c:v>0</c:v>
                </c:pt>
                <c:pt idx="1">
                  <c:v>0.99163362146737433</c:v>
                </c:pt>
              </c:numCache>
            </c:numRef>
          </c:yVal>
          <c:smooth val="1"/>
          <c:extLst>
            <c:ext xmlns:c16="http://schemas.microsoft.com/office/drawing/2014/chart" uri="{C3380CC4-5D6E-409C-BE32-E72D297353CC}">
              <c16:uniqueId val="{00000017-32B2-4D27-A0CF-81A45421B82C}"/>
            </c:ext>
          </c:extLst>
        </c:ser>
        <c:dLbls>
          <c:showLegendKey val="0"/>
          <c:showVal val="0"/>
          <c:showCatName val="0"/>
          <c:showSerName val="0"/>
          <c:showPercent val="0"/>
          <c:showBubbleSize val="0"/>
        </c:dLbls>
        <c:axId val="174814336"/>
        <c:axId val="174808448"/>
      </c:scatterChart>
      <c:valAx>
        <c:axId val="174808448"/>
        <c:scaling>
          <c:orientation val="minMax"/>
          <c:max val="1"/>
          <c:min val="-1"/>
        </c:scaling>
        <c:delete val="1"/>
        <c:axPos val="l"/>
        <c:numFmt formatCode="General" sourceLinked="1"/>
        <c:majorTickMark val="out"/>
        <c:minorTickMark val="none"/>
        <c:tickLblPos val="nextTo"/>
        <c:crossAx val="174814336"/>
        <c:crosses val="autoZero"/>
        <c:crossBetween val="midCat"/>
      </c:valAx>
      <c:valAx>
        <c:axId val="174814336"/>
        <c:scaling>
          <c:orientation val="minMax"/>
          <c:max val="1"/>
          <c:min val="-1"/>
        </c:scaling>
        <c:delete val="1"/>
        <c:axPos val="b"/>
        <c:numFmt formatCode="General" sourceLinked="1"/>
        <c:majorTickMark val="out"/>
        <c:minorTickMark val="none"/>
        <c:tickLblPos val="nextTo"/>
        <c:crossAx val="174808448"/>
        <c:crossesAt val="-1"/>
        <c:crossBetween val="midCat"/>
      </c:valAx>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929954245465188"/>
          <c:y val="8.0908500862554869E-2"/>
          <c:w val="0.66941020292555165"/>
          <c:h val="0.8650784839530633"/>
        </c:manualLayout>
      </c:layout>
      <c:doughnutChart>
        <c:varyColors val="1"/>
        <c:ser>
          <c:idx val="0"/>
          <c:order val="0"/>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scene3d>
              <a:camera prst="orthographicFront"/>
              <a:lightRig rig="threePt" dir="t"/>
            </a:scene3d>
            <a:sp3d>
              <a:bevelT w="12700"/>
              <a:bevelB w="12700"/>
            </a:sp3d>
          </c:spPr>
          <c:dPt>
            <c:idx val="0"/>
            <c:bubble3D val="0"/>
            <c:spPr>
              <a:solidFill>
                <a:srgbClr val="FF0000"/>
              </a:solidFill>
              <a:ln>
                <a:noFill/>
              </a:ln>
              <a:scene3d>
                <a:camera prst="orthographicFront"/>
                <a:lightRig rig="threePt" dir="t"/>
              </a:scene3d>
              <a:sp3d>
                <a:bevelT w="12700"/>
                <a:bevelB w="12700"/>
              </a:sp3d>
            </c:spPr>
            <c:extLst>
              <c:ext xmlns:c16="http://schemas.microsoft.com/office/drawing/2014/chart" uri="{C3380CC4-5D6E-409C-BE32-E72D297353CC}">
                <c16:uniqueId val="{00000001-A6DE-4D4C-936A-E8F9EBFC2A85}"/>
              </c:ext>
            </c:extLst>
          </c:dPt>
          <c:dPt>
            <c:idx val="1"/>
            <c:bubble3D val="0"/>
            <c:spPr>
              <a:gradFill flip="none" rotWithShape="1">
                <a:gsLst>
                  <a:gs pos="0">
                    <a:srgbClr val="FF0000"/>
                  </a:gs>
                  <a:gs pos="98000">
                    <a:srgbClr val="FF3300"/>
                  </a:gs>
                </a:gsLst>
                <a:path path="circle">
                  <a:fillToRect t="100000" r="100000"/>
                </a:path>
                <a:tileRect l="-100000" b="-100000"/>
              </a:gradFill>
              <a:ln>
                <a:noFill/>
              </a:ln>
              <a:scene3d>
                <a:camera prst="orthographicFront"/>
                <a:lightRig rig="threePt" dir="t"/>
              </a:scene3d>
              <a:sp3d>
                <a:bevelT w="12700"/>
                <a:bevelB w="12700"/>
              </a:sp3d>
            </c:spPr>
            <c:extLst>
              <c:ext xmlns:c16="http://schemas.microsoft.com/office/drawing/2014/chart" uri="{C3380CC4-5D6E-409C-BE32-E72D297353CC}">
                <c16:uniqueId val="{00000003-A6DE-4D4C-936A-E8F9EBFC2A85}"/>
              </c:ext>
            </c:extLst>
          </c:dPt>
          <c:dPt>
            <c:idx val="2"/>
            <c:bubble3D val="0"/>
            <c:spPr>
              <a:gradFill flip="none" rotWithShape="1">
                <a:gsLst>
                  <a:gs pos="31000">
                    <a:srgbClr val="FF0000"/>
                  </a:gs>
                  <a:gs pos="80000">
                    <a:schemeClr val="accent4">
                      <a:lumMod val="60000"/>
                      <a:lumOff val="40000"/>
                    </a:schemeClr>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5-A6DE-4D4C-936A-E8F9EBFC2A85}"/>
              </c:ext>
            </c:extLst>
          </c:dPt>
          <c:dPt>
            <c:idx val="3"/>
            <c:bubble3D val="0"/>
            <c:spPr>
              <a:gradFill flip="none" rotWithShape="1">
                <a:gsLst>
                  <a:gs pos="0">
                    <a:srgbClr val="FF0000"/>
                  </a:gs>
                  <a:gs pos="81000">
                    <a:srgbClr val="FFC000"/>
                  </a:gs>
                  <a:gs pos="36000">
                    <a:srgbClr val="FFC0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7-A6DE-4D4C-936A-E8F9EBFC2A85}"/>
              </c:ext>
            </c:extLst>
          </c:dPt>
          <c:dPt>
            <c:idx val="4"/>
            <c:bubble3D val="0"/>
            <c:spPr>
              <a:gradFill flip="none" rotWithShape="1">
                <a:gsLst>
                  <a:gs pos="0">
                    <a:srgbClr val="FFFF00"/>
                  </a:gs>
                  <a:gs pos="100000">
                    <a:srgbClr val="FFFF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9-A6DE-4D4C-936A-E8F9EBFC2A85}"/>
              </c:ext>
            </c:extLst>
          </c:dPt>
          <c:dPt>
            <c:idx val="5"/>
            <c:bubble3D val="0"/>
            <c:spPr>
              <a:gradFill flip="none" rotWithShape="1">
                <a:gsLst>
                  <a:gs pos="0">
                    <a:srgbClr val="FFFF00"/>
                  </a:gs>
                  <a:gs pos="100000">
                    <a:schemeClr val="accent6">
                      <a:lumMod val="30000"/>
                      <a:lumOff val="70000"/>
                    </a:schemeClr>
                  </a:gs>
                </a:gsLst>
                <a:lin ang="27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B-A6DE-4D4C-936A-E8F9EBFC2A85}"/>
              </c:ext>
            </c:extLst>
          </c:dPt>
          <c:dPt>
            <c:idx val="6"/>
            <c:bubble3D val="0"/>
            <c:spPr>
              <a:gradFill flip="none" rotWithShape="1">
                <a:gsLst>
                  <a:gs pos="0">
                    <a:schemeClr val="accent6">
                      <a:lumMod val="0"/>
                      <a:lumOff val="100000"/>
                    </a:schemeClr>
                  </a:gs>
                  <a:gs pos="35000">
                    <a:schemeClr val="accent6">
                      <a:lumMod val="0"/>
                      <a:lumOff val="100000"/>
                    </a:schemeClr>
                  </a:gs>
                  <a:gs pos="100000">
                    <a:schemeClr val="accent6">
                      <a:lumMod val="100000"/>
                    </a:schemeClr>
                  </a:gs>
                </a:gsLst>
                <a:path path="circle">
                  <a:fillToRect l="50000" t="-80000" r="50000" b="18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D-A6DE-4D4C-936A-E8F9EBFC2A85}"/>
              </c:ext>
            </c:extLst>
          </c:dPt>
          <c:dPt>
            <c:idx val="7"/>
            <c:bubble3D val="0"/>
            <c:spPr>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F-A6DE-4D4C-936A-E8F9EBFC2A85}"/>
              </c:ext>
            </c:extLst>
          </c:dPt>
          <c:dPt>
            <c:idx val="8"/>
            <c:bubble3D val="0"/>
            <c:spPr>
              <a:gradFill flip="none" rotWithShape="1">
                <a:gsLst>
                  <a:gs pos="0">
                    <a:schemeClr val="accent6">
                      <a:lumMod val="89000"/>
                    </a:schemeClr>
                  </a:gs>
                  <a:gs pos="23000">
                    <a:schemeClr val="accent6">
                      <a:lumMod val="89000"/>
                    </a:schemeClr>
                  </a:gs>
                  <a:gs pos="69000">
                    <a:schemeClr val="accent6">
                      <a:lumMod val="75000"/>
                    </a:schemeClr>
                  </a:gs>
                  <a:gs pos="97000">
                    <a:schemeClr val="accent6">
                      <a:lumMod val="70000"/>
                    </a:schemeClr>
                  </a:gs>
                </a:gsLst>
                <a:path path="circle">
                  <a:fillToRect l="50000" t="50000" r="50000" b="5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11-A6DE-4D4C-936A-E8F9EBFC2A85}"/>
              </c:ext>
            </c:extLst>
          </c:dPt>
          <c:dPt>
            <c:idx val="9"/>
            <c:bubble3D val="0"/>
            <c:spPr>
              <a:solidFill>
                <a:schemeClr val="accent6">
                  <a:lumMod val="75000"/>
                </a:schemeClr>
              </a:solidFill>
              <a:ln>
                <a:noFill/>
              </a:ln>
              <a:scene3d>
                <a:camera prst="orthographicFront"/>
                <a:lightRig rig="threePt" dir="t"/>
              </a:scene3d>
              <a:sp3d>
                <a:bevelT w="12700"/>
                <a:bevelB w="12700"/>
              </a:sp3d>
            </c:spPr>
            <c:extLst>
              <c:ext xmlns:c16="http://schemas.microsoft.com/office/drawing/2014/chart" uri="{C3380CC4-5D6E-409C-BE32-E72D297353CC}">
                <c16:uniqueId val="{00000013-A6DE-4D4C-936A-E8F9EBFC2A85}"/>
              </c:ext>
            </c:extLst>
          </c:dPt>
          <c:dPt>
            <c:idx val="10"/>
            <c:bubble3D val="0"/>
            <c:spPr>
              <a:noFill/>
              <a:ln>
                <a:noFill/>
              </a:ln>
              <a:scene3d>
                <a:camera prst="orthographicFront"/>
                <a:lightRig rig="threePt" dir="t"/>
              </a:scene3d>
              <a:sp3d>
                <a:bevelT w="12700"/>
                <a:bevelB w="12700"/>
              </a:sp3d>
            </c:spPr>
            <c:extLst>
              <c:ext xmlns:c16="http://schemas.microsoft.com/office/drawing/2014/chart" uri="{C3380CC4-5D6E-409C-BE32-E72D297353CC}">
                <c16:uniqueId val="{00000015-A6DE-4D4C-936A-E8F9EBFC2A85}"/>
              </c:ext>
            </c:extLst>
          </c:dPt>
          <c:dLbls>
            <c:dLbl>
              <c:idx val="0"/>
              <c:layout>
                <c:manualLayout>
                  <c:x val="-4.8359240069084652E-2"/>
                  <c:y val="-9.5011876484560567E-2"/>
                </c:manualLayout>
              </c:layout>
              <c:tx>
                <c:rich>
                  <a:bodyPr/>
                  <a:lstStyle/>
                  <a:p>
                    <a:r>
                      <a:rPr lang="en-US"/>
                      <a:t>10%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A6DE-4D4C-936A-E8F9EBFC2A85}"/>
                </c:ext>
              </c:extLst>
            </c:dLbl>
            <c:dLbl>
              <c:idx val="1"/>
              <c:layout>
                <c:manualLayout>
                  <c:x val="-3.223949337938975E-2"/>
                  <c:y val="-0.10768012668250197"/>
                </c:manualLayout>
              </c:layout>
              <c:tx>
                <c:rich>
                  <a:bodyPr/>
                  <a:lstStyle/>
                  <a:p>
                    <a:r>
                      <a:rPr lang="en-US"/>
                      <a:t>20%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A6DE-4D4C-936A-E8F9EBFC2A85}"/>
                </c:ext>
              </c:extLst>
            </c:dLbl>
            <c:dLbl>
              <c:idx val="2"/>
              <c:layout>
                <c:manualLayout>
                  <c:x val="-9.2112838226827871E-3"/>
                  <c:y val="-0.10451306413301664"/>
                </c:manualLayout>
              </c:layout>
              <c:tx>
                <c:rich>
                  <a:bodyPr/>
                  <a:lstStyle/>
                  <a:p>
                    <a:r>
                      <a:rPr lang="en-US"/>
                      <a:t>30%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A6DE-4D4C-936A-E8F9EBFC2A85}"/>
                </c:ext>
              </c:extLst>
            </c:dLbl>
            <c:dLbl>
              <c:idx val="3"/>
              <c:layout>
                <c:manualLayout>
                  <c:x val="1.8422567645365574E-2"/>
                  <c:y val="-9.5011876484560567E-2"/>
                </c:manualLayout>
              </c:layout>
              <c:tx>
                <c:rich>
                  <a:bodyPr/>
                  <a:lstStyle/>
                  <a:p>
                    <a:r>
                      <a:rPr lang="en-US"/>
                      <a:t>40%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6DE-4D4C-936A-E8F9EBFC2A85}"/>
                </c:ext>
              </c:extLst>
            </c:dLbl>
            <c:dLbl>
              <c:idx val="4"/>
              <c:layout>
                <c:manualLayout>
                  <c:x val="4.8099012715201075E-2"/>
                  <c:y val="-0.10688162397421841"/>
                </c:manualLayout>
              </c:layout>
              <c:tx>
                <c:rich>
                  <a:bodyPr/>
                  <a:lstStyle/>
                  <a:p>
                    <a:r>
                      <a:rPr lang="en-US"/>
                      <a:t>50%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A6DE-4D4C-936A-E8F9EBFC2A85}"/>
                </c:ext>
              </c:extLst>
            </c:dLbl>
            <c:dLbl>
              <c:idx val="5"/>
              <c:layout>
                <c:manualLayout>
                  <c:x val="7.5993091537132906E-2"/>
                  <c:y val="-6.320541760722348E-2"/>
                </c:manualLayout>
              </c:layout>
              <c:tx>
                <c:rich>
                  <a:bodyPr/>
                  <a:lstStyle/>
                  <a:p>
                    <a:r>
                      <a:rPr lang="en-US"/>
                      <a:t>60%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A6DE-4D4C-936A-E8F9EBFC2A85}"/>
                </c:ext>
              </c:extLst>
            </c:dLbl>
            <c:dLbl>
              <c:idx val="6"/>
              <c:layout>
                <c:manualLayout>
                  <c:x val="9.6718480138169263E-2"/>
                  <c:y val="-3.0097817908201655E-2"/>
                </c:manualLayout>
              </c:layout>
              <c:tx>
                <c:rich>
                  <a:bodyPr/>
                  <a:lstStyle/>
                  <a:p>
                    <a:r>
                      <a:rPr lang="en-US"/>
                      <a:t>70%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A6DE-4D4C-936A-E8F9EBFC2A85}"/>
                </c:ext>
              </c:extLst>
            </c:dLbl>
            <c:dLbl>
              <c:idx val="7"/>
              <c:layout>
                <c:manualLayout>
                  <c:x val="9.6718480138169263E-2"/>
                  <c:y val="-1.2039127163280689E-2"/>
                </c:manualLayout>
              </c:layout>
              <c:tx>
                <c:rich>
                  <a:bodyPr/>
                  <a:lstStyle/>
                  <a:p>
                    <a:r>
                      <a:rPr lang="en-US"/>
                      <a:t>80%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A6DE-4D4C-936A-E8F9EBFC2A85}"/>
                </c:ext>
              </c:extLst>
            </c:dLbl>
            <c:dLbl>
              <c:idx val="8"/>
              <c:layout>
                <c:manualLayout>
                  <c:x val="8.9810017271157172E-2"/>
                  <c:y val="2.4078254326561323E-2"/>
                </c:manualLayout>
              </c:layout>
              <c:tx>
                <c:rich>
                  <a:bodyPr/>
                  <a:lstStyle/>
                  <a:p>
                    <a:r>
                      <a:rPr lang="en-US"/>
                      <a:t>90%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A6DE-4D4C-936A-E8F9EBFC2A85}"/>
                </c:ext>
              </c:extLst>
            </c:dLbl>
            <c:dLbl>
              <c:idx val="9"/>
              <c:layout>
                <c:manualLayout>
                  <c:x val="8.0768545875443812E-2"/>
                  <c:y val="4.2161775062898768E-2"/>
                </c:manualLayout>
              </c:layout>
              <c:tx>
                <c:rich>
                  <a:bodyPr/>
                  <a:lstStyle/>
                  <a:p>
                    <a:r>
                      <a:rPr lang="en-US"/>
                      <a:t>100%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A6DE-4D4C-936A-E8F9EBFC2A85}"/>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A6DE-4D4C-936A-E8F9EBFC2A85}"/>
                </c:ext>
              </c:extLst>
            </c:dLbl>
            <c:spPr>
              <a:noFill/>
              <a:ln>
                <a:noFill/>
              </a:ln>
              <a:effectLst/>
              <a:scene3d>
                <a:camera prst="orthographicFront"/>
                <a:lightRig rig="threePt" dir="t"/>
              </a:scene3d>
              <a:sp3d>
                <a:bevelT w="6350"/>
              </a:sp3d>
            </c:spPr>
            <c:txPr>
              <a:bodyPr wrap="square" lIns="38100" tIns="19050" rIns="38100" bIns="19050" anchor="ctr">
                <a:spAutoFit/>
              </a:bodyPr>
              <a:lstStyle/>
              <a:p>
                <a:pPr>
                  <a:defRPr sz="1800" b="1">
                    <a:solidFill>
                      <a:srgbClr val="FFFF00"/>
                    </a:solidFill>
                  </a:defRPr>
                </a:pPr>
                <a:endParaRPr lang="es-CO"/>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[2]velocimetro!$A$24:$A$34</c:f>
              <c:strCache>
                <c:ptCount val="11"/>
                <c:pt idx="0">
                  <c:v>#¡REF!</c:v>
                </c:pt>
                <c:pt idx="1">
                  <c:v>#¡REF!</c:v>
                </c:pt>
                <c:pt idx="2">
                  <c:v>#¡REF!</c:v>
                </c:pt>
                <c:pt idx="3">
                  <c:v>#¡REF!</c:v>
                </c:pt>
                <c:pt idx="4">
                  <c:v>#¡REF!</c:v>
                </c:pt>
                <c:pt idx="5">
                  <c:v>#¡REF!</c:v>
                </c:pt>
                <c:pt idx="6">
                  <c:v>#¡REF!</c:v>
                </c:pt>
                <c:pt idx="7">
                  <c:v>#¡REF!</c:v>
                </c:pt>
                <c:pt idx="8">
                  <c:v>#¡REF!</c:v>
                </c:pt>
                <c:pt idx="9">
                  <c:v>#¡REF!</c:v>
                </c:pt>
                <c:pt idx="10">
                  <c:v>#¡REF!</c:v>
                </c:pt>
              </c:strCache>
            </c:strRef>
          </c:cat>
          <c:val>
            <c:numRef>
              <c:f>[3]velocimetro!$B$2:$B$12</c:f>
              <c:numCache>
                <c:formatCode>General</c:formatCode>
                <c:ptCount val="11"/>
              </c:numCache>
            </c:numRef>
          </c:val>
          <c:extLst>
            <c:ext xmlns:c16="http://schemas.microsoft.com/office/drawing/2014/chart" uri="{C3380CC4-5D6E-409C-BE32-E72D297353CC}">
              <c16:uniqueId val="{00000016-A6DE-4D4C-936A-E8F9EBFC2A85}"/>
            </c:ext>
          </c:extLst>
        </c:ser>
        <c:dLbls>
          <c:showLegendKey val="0"/>
          <c:showVal val="0"/>
          <c:showCatName val="0"/>
          <c:showSerName val="0"/>
          <c:showPercent val="0"/>
          <c:showBubbleSize val="0"/>
          <c:showLeaderLines val="0"/>
        </c:dLbls>
        <c:firstSliceAng val="270"/>
        <c:holeSize val="70"/>
      </c:doughnutChart>
      <c:scatterChart>
        <c:scatterStyle val="smoothMarker"/>
        <c:varyColors val="0"/>
        <c:ser>
          <c:idx val="1"/>
          <c:order val="1"/>
          <c:marker>
            <c:symbol val="none"/>
          </c:marker>
          <c:xVal>
            <c:numRef>
              <c:f>[5]PLANES!$B$24:$B$25</c:f>
              <c:numCache>
                <c:formatCode>General</c:formatCode>
                <c:ptCount val="2"/>
                <c:pt idx="0">
                  <c:v>0</c:v>
                </c:pt>
                <c:pt idx="1">
                  <c:v>0.12908431653574429</c:v>
                </c:pt>
              </c:numCache>
            </c:numRef>
          </c:xVal>
          <c:yVal>
            <c:numRef>
              <c:f>[5]PLANES!$C$24:$C$25</c:f>
              <c:numCache>
                <c:formatCode>General</c:formatCode>
                <c:ptCount val="2"/>
                <c:pt idx="0">
                  <c:v>0</c:v>
                </c:pt>
                <c:pt idx="1">
                  <c:v>0.99163362146737433</c:v>
                </c:pt>
              </c:numCache>
            </c:numRef>
          </c:yVal>
          <c:smooth val="1"/>
          <c:extLst>
            <c:ext xmlns:c16="http://schemas.microsoft.com/office/drawing/2014/chart" uri="{C3380CC4-5D6E-409C-BE32-E72D297353CC}">
              <c16:uniqueId val="{00000017-A6DE-4D4C-936A-E8F9EBFC2A85}"/>
            </c:ext>
          </c:extLst>
        </c:ser>
        <c:dLbls>
          <c:showLegendKey val="0"/>
          <c:showVal val="0"/>
          <c:showCatName val="0"/>
          <c:showSerName val="0"/>
          <c:showPercent val="0"/>
          <c:showBubbleSize val="0"/>
        </c:dLbls>
        <c:axId val="174814336"/>
        <c:axId val="174808448"/>
      </c:scatterChart>
      <c:valAx>
        <c:axId val="174808448"/>
        <c:scaling>
          <c:orientation val="minMax"/>
          <c:max val="1"/>
          <c:min val="-1"/>
        </c:scaling>
        <c:delete val="1"/>
        <c:axPos val="l"/>
        <c:numFmt formatCode="General" sourceLinked="1"/>
        <c:majorTickMark val="out"/>
        <c:minorTickMark val="none"/>
        <c:tickLblPos val="nextTo"/>
        <c:crossAx val="174814336"/>
        <c:crosses val="autoZero"/>
        <c:crossBetween val="midCat"/>
      </c:valAx>
      <c:valAx>
        <c:axId val="174814336"/>
        <c:scaling>
          <c:orientation val="minMax"/>
          <c:max val="1"/>
          <c:min val="-1"/>
        </c:scaling>
        <c:delete val="1"/>
        <c:axPos val="b"/>
        <c:numFmt formatCode="General" sourceLinked="1"/>
        <c:majorTickMark val="out"/>
        <c:minorTickMark val="none"/>
        <c:tickLblPos val="nextTo"/>
        <c:crossAx val="174808448"/>
        <c:crossesAt val="-1"/>
        <c:crossBetween val="midCat"/>
      </c:valAx>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929954245465188"/>
          <c:y val="8.0908500862554869E-2"/>
          <c:w val="0.66941020292555165"/>
          <c:h val="0.8650784839530633"/>
        </c:manualLayout>
      </c:layout>
      <c:doughnutChart>
        <c:varyColors val="1"/>
        <c:ser>
          <c:idx val="0"/>
          <c:order val="0"/>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scene3d>
              <a:camera prst="orthographicFront"/>
              <a:lightRig rig="threePt" dir="t"/>
            </a:scene3d>
            <a:sp3d>
              <a:bevelT w="12700"/>
              <a:bevelB w="12700"/>
            </a:sp3d>
          </c:spPr>
          <c:dPt>
            <c:idx val="0"/>
            <c:bubble3D val="0"/>
            <c:spPr>
              <a:solidFill>
                <a:srgbClr val="FF0000"/>
              </a:solidFill>
              <a:ln>
                <a:noFill/>
              </a:ln>
              <a:scene3d>
                <a:camera prst="orthographicFront"/>
                <a:lightRig rig="threePt" dir="t"/>
              </a:scene3d>
              <a:sp3d>
                <a:bevelT w="12700"/>
                <a:bevelB w="12700"/>
              </a:sp3d>
            </c:spPr>
            <c:extLst>
              <c:ext xmlns:c16="http://schemas.microsoft.com/office/drawing/2014/chart" uri="{C3380CC4-5D6E-409C-BE32-E72D297353CC}">
                <c16:uniqueId val="{00000001-9276-4E94-A518-FA2294D30471}"/>
              </c:ext>
            </c:extLst>
          </c:dPt>
          <c:dPt>
            <c:idx val="1"/>
            <c:bubble3D val="0"/>
            <c:spPr>
              <a:gradFill flip="none" rotWithShape="1">
                <a:gsLst>
                  <a:gs pos="0">
                    <a:srgbClr val="FF0000"/>
                  </a:gs>
                  <a:gs pos="98000">
                    <a:srgbClr val="FF3300"/>
                  </a:gs>
                </a:gsLst>
                <a:path path="circle">
                  <a:fillToRect t="100000" r="100000"/>
                </a:path>
                <a:tileRect l="-100000" b="-100000"/>
              </a:gradFill>
              <a:ln>
                <a:noFill/>
              </a:ln>
              <a:scene3d>
                <a:camera prst="orthographicFront"/>
                <a:lightRig rig="threePt" dir="t"/>
              </a:scene3d>
              <a:sp3d>
                <a:bevelT w="12700"/>
                <a:bevelB w="12700"/>
              </a:sp3d>
            </c:spPr>
            <c:extLst>
              <c:ext xmlns:c16="http://schemas.microsoft.com/office/drawing/2014/chart" uri="{C3380CC4-5D6E-409C-BE32-E72D297353CC}">
                <c16:uniqueId val="{00000003-9276-4E94-A518-FA2294D30471}"/>
              </c:ext>
            </c:extLst>
          </c:dPt>
          <c:dPt>
            <c:idx val="2"/>
            <c:bubble3D val="0"/>
            <c:spPr>
              <a:gradFill flip="none" rotWithShape="1">
                <a:gsLst>
                  <a:gs pos="31000">
                    <a:srgbClr val="FF0000"/>
                  </a:gs>
                  <a:gs pos="80000">
                    <a:schemeClr val="accent4">
                      <a:lumMod val="60000"/>
                      <a:lumOff val="40000"/>
                    </a:schemeClr>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5-9276-4E94-A518-FA2294D30471}"/>
              </c:ext>
            </c:extLst>
          </c:dPt>
          <c:dPt>
            <c:idx val="3"/>
            <c:bubble3D val="0"/>
            <c:spPr>
              <a:gradFill flip="none" rotWithShape="1">
                <a:gsLst>
                  <a:gs pos="0">
                    <a:srgbClr val="FF0000"/>
                  </a:gs>
                  <a:gs pos="81000">
                    <a:srgbClr val="FFC000"/>
                  </a:gs>
                  <a:gs pos="36000">
                    <a:srgbClr val="FFC0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7-9276-4E94-A518-FA2294D30471}"/>
              </c:ext>
            </c:extLst>
          </c:dPt>
          <c:dPt>
            <c:idx val="4"/>
            <c:bubble3D val="0"/>
            <c:spPr>
              <a:gradFill flip="none" rotWithShape="1">
                <a:gsLst>
                  <a:gs pos="0">
                    <a:srgbClr val="FFFF00"/>
                  </a:gs>
                  <a:gs pos="100000">
                    <a:srgbClr val="FFFF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9-9276-4E94-A518-FA2294D30471}"/>
              </c:ext>
            </c:extLst>
          </c:dPt>
          <c:dPt>
            <c:idx val="5"/>
            <c:bubble3D val="0"/>
            <c:spPr>
              <a:gradFill flip="none" rotWithShape="1">
                <a:gsLst>
                  <a:gs pos="0">
                    <a:srgbClr val="FFFF00"/>
                  </a:gs>
                  <a:gs pos="100000">
                    <a:schemeClr val="accent6">
                      <a:lumMod val="30000"/>
                      <a:lumOff val="70000"/>
                    </a:schemeClr>
                  </a:gs>
                </a:gsLst>
                <a:lin ang="27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B-9276-4E94-A518-FA2294D30471}"/>
              </c:ext>
            </c:extLst>
          </c:dPt>
          <c:dPt>
            <c:idx val="6"/>
            <c:bubble3D val="0"/>
            <c:spPr>
              <a:gradFill flip="none" rotWithShape="1">
                <a:gsLst>
                  <a:gs pos="0">
                    <a:schemeClr val="accent6">
                      <a:lumMod val="0"/>
                      <a:lumOff val="100000"/>
                    </a:schemeClr>
                  </a:gs>
                  <a:gs pos="35000">
                    <a:schemeClr val="accent6">
                      <a:lumMod val="0"/>
                      <a:lumOff val="100000"/>
                    </a:schemeClr>
                  </a:gs>
                  <a:gs pos="100000">
                    <a:schemeClr val="accent6">
                      <a:lumMod val="100000"/>
                    </a:schemeClr>
                  </a:gs>
                </a:gsLst>
                <a:path path="circle">
                  <a:fillToRect l="50000" t="-80000" r="50000" b="18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D-9276-4E94-A518-FA2294D30471}"/>
              </c:ext>
            </c:extLst>
          </c:dPt>
          <c:dPt>
            <c:idx val="7"/>
            <c:bubble3D val="0"/>
            <c:spPr>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F-9276-4E94-A518-FA2294D30471}"/>
              </c:ext>
            </c:extLst>
          </c:dPt>
          <c:dPt>
            <c:idx val="8"/>
            <c:bubble3D val="0"/>
            <c:spPr>
              <a:gradFill flip="none" rotWithShape="1">
                <a:gsLst>
                  <a:gs pos="0">
                    <a:schemeClr val="accent6">
                      <a:lumMod val="89000"/>
                    </a:schemeClr>
                  </a:gs>
                  <a:gs pos="23000">
                    <a:schemeClr val="accent6">
                      <a:lumMod val="89000"/>
                    </a:schemeClr>
                  </a:gs>
                  <a:gs pos="69000">
                    <a:schemeClr val="accent6">
                      <a:lumMod val="75000"/>
                    </a:schemeClr>
                  </a:gs>
                  <a:gs pos="97000">
                    <a:schemeClr val="accent6">
                      <a:lumMod val="70000"/>
                    </a:schemeClr>
                  </a:gs>
                </a:gsLst>
                <a:path path="circle">
                  <a:fillToRect l="50000" t="50000" r="50000" b="5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11-9276-4E94-A518-FA2294D30471}"/>
              </c:ext>
            </c:extLst>
          </c:dPt>
          <c:dPt>
            <c:idx val="9"/>
            <c:bubble3D val="0"/>
            <c:spPr>
              <a:solidFill>
                <a:schemeClr val="accent6">
                  <a:lumMod val="75000"/>
                </a:schemeClr>
              </a:solidFill>
              <a:ln>
                <a:noFill/>
              </a:ln>
              <a:scene3d>
                <a:camera prst="orthographicFront"/>
                <a:lightRig rig="threePt" dir="t"/>
              </a:scene3d>
              <a:sp3d>
                <a:bevelT w="12700"/>
                <a:bevelB w="12700"/>
              </a:sp3d>
            </c:spPr>
            <c:extLst>
              <c:ext xmlns:c16="http://schemas.microsoft.com/office/drawing/2014/chart" uri="{C3380CC4-5D6E-409C-BE32-E72D297353CC}">
                <c16:uniqueId val="{00000013-9276-4E94-A518-FA2294D30471}"/>
              </c:ext>
            </c:extLst>
          </c:dPt>
          <c:dPt>
            <c:idx val="10"/>
            <c:bubble3D val="0"/>
            <c:spPr>
              <a:noFill/>
              <a:ln>
                <a:noFill/>
              </a:ln>
              <a:scene3d>
                <a:camera prst="orthographicFront"/>
                <a:lightRig rig="threePt" dir="t"/>
              </a:scene3d>
              <a:sp3d>
                <a:bevelT w="12700"/>
                <a:bevelB w="12700"/>
              </a:sp3d>
            </c:spPr>
            <c:extLst>
              <c:ext xmlns:c16="http://schemas.microsoft.com/office/drawing/2014/chart" uri="{C3380CC4-5D6E-409C-BE32-E72D297353CC}">
                <c16:uniqueId val="{00000015-9276-4E94-A518-FA2294D30471}"/>
              </c:ext>
            </c:extLst>
          </c:dPt>
          <c:dLbls>
            <c:dLbl>
              <c:idx val="0"/>
              <c:layout>
                <c:manualLayout>
                  <c:x val="-4.8359240069084652E-2"/>
                  <c:y val="-9.5011876484560567E-2"/>
                </c:manualLayout>
              </c:layout>
              <c:tx>
                <c:rich>
                  <a:bodyPr/>
                  <a:lstStyle/>
                  <a:p>
                    <a:r>
                      <a:rPr lang="en-US"/>
                      <a:t>10%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9276-4E94-A518-FA2294D30471}"/>
                </c:ext>
              </c:extLst>
            </c:dLbl>
            <c:dLbl>
              <c:idx val="1"/>
              <c:layout>
                <c:manualLayout>
                  <c:x val="-3.223949337938975E-2"/>
                  <c:y val="-0.10768012668250197"/>
                </c:manualLayout>
              </c:layout>
              <c:tx>
                <c:rich>
                  <a:bodyPr/>
                  <a:lstStyle/>
                  <a:p>
                    <a:r>
                      <a:rPr lang="en-US"/>
                      <a:t>20%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9276-4E94-A518-FA2294D30471}"/>
                </c:ext>
              </c:extLst>
            </c:dLbl>
            <c:dLbl>
              <c:idx val="2"/>
              <c:layout>
                <c:manualLayout>
                  <c:x val="-9.2112838226827871E-3"/>
                  <c:y val="-0.10451306413301664"/>
                </c:manualLayout>
              </c:layout>
              <c:tx>
                <c:rich>
                  <a:bodyPr/>
                  <a:lstStyle/>
                  <a:p>
                    <a:r>
                      <a:rPr lang="en-US"/>
                      <a:t>30%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276-4E94-A518-FA2294D30471}"/>
                </c:ext>
              </c:extLst>
            </c:dLbl>
            <c:dLbl>
              <c:idx val="3"/>
              <c:layout>
                <c:manualLayout>
                  <c:x val="1.8422567645365574E-2"/>
                  <c:y val="-9.5011876484560567E-2"/>
                </c:manualLayout>
              </c:layout>
              <c:tx>
                <c:rich>
                  <a:bodyPr/>
                  <a:lstStyle/>
                  <a:p>
                    <a:r>
                      <a:rPr lang="en-US"/>
                      <a:t>40%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9276-4E94-A518-FA2294D30471}"/>
                </c:ext>
              </c:extLst>
            </c:dLbl>
            <c:dLbl>
              <c:idx val="4"/>
              <c:layout>
                <c:manualLayout>
                  <c:x val="4.8099012715201075E-2"/>
                  <c:y val="-0.10688162397421841"/>
                </c:manualLayout>
              </c:layout>
              <c:tx>
                <c:rich>
                  <a:bodyPr/>
                  <a:lstStyle/>
                  <a:p>
                    <a:r>
                      <a:rPr lang="en-US"/>
                      <a:t>50%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9276-4E94-A518-FA2294D30471}"/>
                </c:ext>
              </c:extLst>
            </c:dLbl>
            <c:dLbl>
              <c:idx val="5"/>
              <c:layout>
                <c:manualLayout>
                  <c:x val="7.5993091537132906E-2"/>
                  <c:y val="-6.320541760722348E-2"/>
                </c:manualLayout>
              </c:layout>
              <c:tx>
                <c:rich>
                  <a:bodyPr/>
                  <a:lstStyle/>
                  <a:p>
                    <a:r>
                      <a:rPr lang="en-US"/>
                      <a:t>60%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9276-4E94-A518-FA2294D30471}"/>
                </c:ext>
              </c:extLst>
            </c:dLbl>
            <c:dLbl>
              <c:idx val="6"/>
              <c:layout>
                <c:manualLayout>
                  <c:x val="9.6718480138169263E-2"/>
                  <c:y val="-3.0097817908201655E-2"/>
                </c:manualLayout>
              </c:layout>
              <c:tx>
                <c:rich>
                  <a:bodyPr/>
                  <a:lstStyle/>
                  <a:p>
                    <a:r>
                      <a:rPr lang="en-US"/>
                      <a:t>70%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9276-4E94-A518-FA2294D30471}"/>
                </c:ext>
              </c:extLst>
            </c:dLbl>
            <c:dLbl>
              <c:idx val="7"/>
              <c:layout>
                <c:manualLayout>
                  <c:x val="9.6718480138169263E-2"/>
                  <c:y val="-1.2039127163280689E-2"/>
                </c:manualLayout>
              </c:layout>
              <c:tx>
                <c:rich>
                  <a:bodyPr/>
                  <a:lstStyle/>
                  <a:p>
                    <a:r>
                      <a:rPr lang="en-US"/>
                      <a:t>80%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9276-4E94-A518-FA2294D30471}"/>
                </c:ext>
              </c:extLst>
            </c:dLbl>
            <c:dLbl>
              <c:idx val="8"/>
              <c:layout>
                <c:manualLayout>
                  <c:x val="8.9810017271157172E-2"/>
                  <c:y val="2.4078254326561323E-2"/>
                </c:manualLayout>
              </c:layout>
              <c:tx>
                <c:rich>
                  <a:bodyPr/>
                  <a:lstStyle/>
                  <a:p>
                    <a:r>
                      <a:rPr lang="en-US"/>
                      <a:t>90%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9276-4E94-A518-FA2294D30471}"/>
                </c:ext>
              </c:extLst>
            </c:dLbl>
            <c:dLbl>
              <c:idx val="9"/>
              <c:layout>
                <c:manualLayout>
                  <c:x val="8.0768545875443812E-2"/>
                  <c:y val="4.2161775062898768E-2"/>
                </c:manualLayout>
              </c:layout>
              <c:tx>
                <c:rich>
                  <a:bodyPr/>
                  <a:lstStyle/>
                  <a:p>
                    <a:r>
                      <a:rPr lang="en-US"/>
                      <a:t>100%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9276-4E94-A518-FA2294D30471}"/>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9276-4E94-A518-FA2294D30471}"/>
                </c:ext>
              </c:extLst>
            </c:dLbl>
            <c:spPr>
              <a:noFill/>
              <a:ln>
                <a:noFill/>
              </a:ln>
              <a:effectLst/>
              <a:scene3d>
                <a:camera prst="orthographicFront"/>
                <a:lightRig rig="threePt" dir="t"/>
              </a:scene3d>
              <a:sp3d>
                <a:bevelT w="6350"/>
              </a:sp3d>
            </c:spPr>
            <c:txPr>
              <a:bodyPr wrap="square" lIns="38100" tIns="19050" rIns="38100" bIns="19050" anchor="ctr">
                <a:spAutoFit/>
              </a:bodyPr>
              <a:lstStyle/>
              <a:p>
                <a:pPr>
                  <a:defRPr sz="1800" b="1">
                    <a:solidFill>
                      <a:srgbClr val="FFFF00"/>
                    </a:solidFill>
                  </a:defRPr>
                </a:pPr>
                <a:endParaRPr lang="es-CO"/>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[2]velocimetro!$A$24:$A$34</c:f>
              <c:strCache>
                <c:ptCount val="11"/>
                <c:pt idx="0">
                  <c:v>#¡REF!</c:v>
                </c:pt>
                <c:pt idx="1">
                  <c:v>#¡REF!</c:v>
                </c:pt>
                <c:pt idx="2">
                  <c:v>#¡REF!</c:v>
                </c:pt>
                <c:pt idx="3">
                  <c:v>#¡REF!</c:v>
                </c:pt>
                <c:pt idx="4">
                  <c:v>#¡REF!</c:v>
                </c:pt>
                <c:pt idx="5">
                  <c:v>#¡REF!</c:v>
                </c:pt>
                <c:pt idx="6">
                  <c:v>#¡REF!</c:v>
                </c:pt>
                <c:pt idx="7">
                  <c:v>#¡REF!</c:v>
                </c:pt>
                <c:pt idx="8">
                  <c:v>#¡REF!</c:v>
                </c:pt>
                <c:pt idx="9">
                  <c:v>#¡REF!</c:v>
                </c:pt>
                <c:pt idx="10">
                  <c:v>#¡REF!</c:v>
                </c:pt>
              </c:strCache>
            </c:strRef>
          </c:cat>
          <c:val>
            <c:numRef>
              <c:f>[3]velocimetro!$B$2:$B$12</c:f>
              <c:numCache>
                <c:formatCode>General</c:formatCode>
                <c:ptCount val="11"/>
              </c:numCache>
            </c:numRef>
          </c:val>
          <c:extLst>
            <c:ext xmlns:c16="http://schemas.microsoft.com/office/drawing/2014/chart" uri="{C3380CC4-5D6E-409C-BE32-E72D297353CC}">
              <c16:uniqueId val="{00000016-9276-4E94-A518-FA2294D30471}"/>
            </c:ext>
          </c:extLst>
        </c:ser>
        <c:dLbls>
          <c:showLegendKey val="0"/>
          <c:showVal val="0"/>
          <c:showCatName val="0"/>
          <c:showSerName val="0"/>
          <c:showPercent val="0"/>
          <c:showBubbleSize val="0"/>
          <c:showLeaderLines val="0"/>
        </c:dLbls>
        <c:firstSliceAng val="270"/>
        <c:holeSize val="70"/>
      </c:doughnutChart>
      <c:scatterChart>
        <c:scatterStyle val="smoothMarker"/>
        <c:varyColors val="0"/>
        <c:ser>
          <c:idx val="1"/>
          <c:order val="1"/>
          <c:marker>
            <c:symbol val="none"/>
          </c:marker>
          <c:xVal>
            <c:numRef>
              <c:f>[5]PLANES!$B$24:$B$25</c:f>
              <c:numCache>
                <c:formatCode>General</c:formatCode>
                <c:ptCount val="2"/>
                <c:pt idx="0">
                  <c:v>0</c:v>
                </c:pt>
                <c:pt idx="1">
                  <c:v>0.12908431653574429</c:v>
                </c:pt>
              </c:numCache>
            </c:numRef>
          </c:xVal>
          <c:yVal>
            <c:numRef>
              <c:f>[5]PLANES!$C$24:$C$25</c:f>
              <c:numCache>
                <c:formatCode>General</c:formatCode>
                <c:ptCount val="2"/>
                <c:pt idx="0">
                  <c:v>0</c:v>
                </c:pt>
                <c:pt idx="1">
                  <c:v>0.99163362146737433</c:v>
                </c:pt>
              </c:numCache>
            </c:numRef>
          </c:yVal>
          <c:smooth val="1"/>
          <c:extLst>
            <c:ext xmlns:c16="http://schemas.microsoft.com/office/drawing/2014/chart" uri="{C3380CC4-5D6E-409C-BE32-E72D297353CC}">
              <c16:uniqueId val="{00000017-9276-4E94-A518-FA2294D30471}"/>
            </c:ext>
          </c:extLst>
        </c:ser>
        <c:dLbls>
          <c:showLegendKey val="0"/>
          <c:showVal val="0"/>
          <c:showCatName val="0"/>
          <c:showSerName val="0"/>
          <c:showPercent val="0"/>
          <c:showBubbleSize val="0"/>
        </c:dLbls>
        <c:axId val="174814336"/>
        <c:axId val="174808448"/>
      </c:scatterChart>
      <c:valAx>
        <c:axId val="174808448"/>
        <c:scaling>
          <c:orientation val="minMax"/>
          <c:max val="1"/>
          <c:min val="-1"/>
        </c:scaling>
        <c:delete val="1"/>
        <c:axPos val="l"/>
        <c:numFmt formatCode="General" sourceLinked="1"/>
        <c:majorTickMark val="out"/>
        <c:minorTickMark val="none"/>
        <c:tickLblPos val="nextTo"/>
        <c:crossAx val="174814336"/>
        <c:crosses val="autoZero"/>
        <c:crossBetween val="midCat"/>
      </c:valAx>
      <c:valAx>
        <c:axId val="174814336"/>
        <c:scaling>
          <c:orientation val="minMax"/>
          <c:max val="1"/>
          <c:min val="-1"/>
        </c:scaling>
        <c:delete val="1"/>
        <c:axPos val="b"/>
        <c:numFmt formatCode="General" sourceLinked="1"/>
        <c:majorTickMark val="out"/>
        <c:minorTickMark val="none"/>
        <c:tickLblPos val="nextTo"/>
        <c:crossAx val="174808448"/>
        <c:crossesAt val="-1"/>
        <c:crossBetween val="midCat"/>
      </c:valAx>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929954245465188"/>
          <c:y val="8.0908500862554869E-2"/>
          <c:w val="0.66941020292555165"/>
          <c:h val="0.8650784839530633"/>
        </c:manualLayout>
      </c:layout>
      <c:doughnutChart>
        <c:varyColors val="1"/>
        <c:ser>
          <c:idx val="0"/>
          <c:order val="0"/>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scene3d>
              <a:camera prst="orthographicFront"/>
              <a:lightRig rig="threePt" dir="t"/>
            </a:scene3d>
            <a:sp3d>
              <a:bevelT w="12700"/>
              <a:bevelB w="12700"/>
            </a:sp3d>
          </c:spPr>
          <c:dPt>
            <c:idx val="0"/>
            <c:bubble3D val="0"/>
            <c:spPr>
              <a:solidFill>
                <a:srgbClr val="FF0000"/>
              </a:solidFill>
              <a:ln>
                <a:noFill/>
              </a:ln>
              <a:scene3d>
                <a:camera prst="orthographicFront"/>
                <a:lightRig rig="threePt" dir="t"/>
              </a:scene3d>
              <a:sp3d>
                <a:bevelT w="12700"/>
                <a:bevelB w="12700"/>
              </a:sp3d>
            </c:spPr>
            <c:extLst>
              <c:ext xmlns:c16="http://schemas.microsoft.com/office/drawing/2014/chart" uri="{C3380CC4-5D6E-409C-BE32-E72D297353CC}">
                <c16:uniqueId val="{00000001-0642-4AD0-B7A7-9BB231BFA92B}"/>
              </c:ext>
            </c:extLst>
          </c:dPt>
          <c:dPt>
            <c:idx val="1"/>
            <c:bubble3D val="0"/>
            <c:spPr>
              <a:gradFill flip="none" rotWithShape="1">
                <a:gsLst>
                  <a:gs pos="0">
                    <a:srgbClr val="FF0000"/>
                  </a:gs>
                  <a:gs pos="98000">
                    <a:srgbClr val="FF3300"/>
                  </a:gs>
                </a:gsLst>
                <a:path path="circle">
                  <a:fillToRect t="100000" r="100000"/>
                </a:path>
                <a:tileRect l="-100000" b="-100000"/>
              </a:gradFill>
              <a:ln>
                <a:noFill/>
              </a:ln>
              <a:scene3d>
                <a:camera prst="orthographicFront"/>
                <a:lightRig rig="threePt" dir="t"/>
              </a:scene3d>
              <a:sp3d>
                <a:bevelT w="12700"/>
                <a:bevelB w="12700"/>
              </a:sp3d>
            </c:spPr>
            <c:extLst>
              <c:ext xmlns:c16="http://schemas.microsoft.com/office/drawing/2014/chart" uri="{C3380CC4-5D6E-409C-BE32-E72D297353CC}">
                <c16:uniqueId val="{00000003-0642-4AD0-B7A7-9BB231BFA92B}"/>
              </c:ext>
            </c:extLst>
          </c:dPt>
          <c:dPt>
            <c:idx val="2"/>
            <c:bubble3D val="0"/>
            <c:spPr>
              <a:gradFill flip="none" rotWithShape="1">
                <a:gsLst>
                  <a:gs pos="31000">
                    <a:srgbClr val="FF0000"/>
                  </a:gs>
                  <a:gs pos="80000">
                    <a:schemeClr val="accent4">
                      <a:lumMod val="60000"/>
                      <a:lumOff val="40000"/>
                    </a:schemeClr>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5-0642-4AD0-B7A7-9BB231BFA92B}"/>
              </c:ext>
            </c:extLst>
          </c:dPt>
          <c:dPt>
            <c:idx val="3"/>
            <c:bubble3D val="0"/>
            <c:spPr>
              <a:gradFill flip="none" rotWithShape="1">
                <a:gsLst>
                  <a:gs pos="0">
                    <a:srgbClr val="FF0000"/>
                  </a:gs>
                  <a:gs pos="81000">
                    <a:srgbClr val="FFC000"/>
                  </a:gs>
                  <a:gs pos="36000">
                    <a:srgbClr val="FFC0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7-0642-4AD0-B7A7-9BB231BFA92B}"/>
              </c:ext>
            </c:extLst>
          </c:dPt>
          <c:dPt>
            <c:idx val="4"/>
            <c:bubble3D val="0"/>
            <c:spPr>
              <a:gradFill flip="none" rotWithShape="1">
                <a:gsLst>
                  <a:gs pos="0">
                    <a:srgbClr val="FFFF00"/>
                  </a:gs>
                  <a:gs pos="100000">
                    <a:srgbClr val="FFFF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9-0642-4AD0-B7A7-9BB231BFA92B}"/>
              </c:ext>
            </c:extLst>
          </c:dPt>
          <c:dPt>
            <c:idx val="5"/>
            <c:bubble3D val="0"/>
            <c:spPr>
              <a:gradFill flip="none" rotWithShape="1">
                <a:gsLst>
                  <a:gs pos="0">
                    <a:srgbClr val="FFFF00"/>
                  </a:gs>
                  <a:gs pos="100000">
                    <a:schemeClr val="accent6">
                      <a:lumMod val="30000"/>
                      <a:lumOff val="70000"/>
                    </a:schemeClr>
                  </a:gs>
                </a:gsLst>
                <a:lin ang="27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B-0642-4AD0-B7A7-9BB231BFA92B}"/>
              </c:ext>
            </c:extLst>
          </c:dPt>
          <c:dPt>
            <c:idx val="6"/>
            <c:bubble3D val="0"/>
            <c:spPr>
              <a:gradFill flip="none" rotWithShape="1">
                <a:gsLst>
                  <a:gs pos="0">
                    <a:schemeClr val="accent6">
                      <a:lumMod val="0"/>
                      <a:lumOff val="100000"/>
                    </a:schemeClr>
                  </a:gs>
                  <a:gs pos="35000">
                    <a:schemeClr val="accent6">
                      <a:lumMod val="0"/>
                      <a:lumOff val="100000"/>
                    </a:schemeClr>
                  </a:gs>
                  <a:gs pos="100000">
                    <a:schemeClr val="accent6">
                      <a:lumMod val="100000"/>
                    </a:schemeClr>
                  </a:gs>
                </a:gsLst>
                <a:path path="circle">
                  <a:fillToRect l="50000" t="-80000" r="50000" b="18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D-0642-4AD0-B7A7-9BB231BFA92B}"/>
              </c:ext>
            </c:extLst>
          </c:dPt>
          <c:dPt>
            <c:idx val="7"/>
            <c:bubble3D val="0"/>
            <c:spPr>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F-0642-4AD0-B7A7-9BB231BFA92B}"/>
              </c:ext>
            </c:extLst>
          </c:dPt>
          <c:dPt>
            <c:idx val="8"/>
            <c:bubble3D val="0"/>
            <c:spPr>
              <a:gradFill flip="none" rotWithShape="1">
                <a:gsLst>
                  <a:gs pos="0">
                    <a:schemeClr val="accent6">
                      <a:lumMod val="89000"/>
                    </a:schemeClr>
                  </a:gs>
                  <a:gs pos="23000">
                    <a:schemeClr val="accent6">
                      <a:lumMod val="89000"/>
                    </a:schemeClr>
                  </a:gs>
                  <a:gs pos="69000">
                    <a:schemeClr val="accent6">
                      <a:lumMod val="75000"/>
                    </a:schemeClr>
                  </a:gs>
                  <a:gs pos="97000">
                    <a:schemeClr val="accent6">
                      <a:lumMod val="70000"/>
                    </a:schemeClr>
                  </a:gs>
                </a:gsLst>
                <a:path path="circle">
                  <a:fillToRect l="50000" t="50000" r="50000" b="5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11-0642-4AD0-B7A7-9BB231BFA92B}"/>
              </c:ext>
            </c:extLst>
          </c:dPt>
          <c:dPt>
            <c:idx val="9"/>
            <c:bubble3D val="0"/>
            <c:spPr>
              <a:solidFill>
                <a:schemeClr val="accent6">
                  <a:lumMod val="75000"/>
                </a:schemeClr>
              </a:solidFill>
              <a:ln>
                <a:noFill/>
              </a:ln>
              <a:scene3d>
                <a:camera prst="orthographicFront"/>
                <a:lightRig rig="threePt" dir="t"/>
              </a:scene3d>
              <a:sp3d>
                <a:bevelT w="12700"/>
                <a:bevelB w="12700"/>
              </a:sp3d>
            </c:spPr>
            <c:extLst>
              <c:ext xmlns:c16="http://schemas.microsoft.com/office/drawing/2014/chart" uri="{C3380CC4-5D6E-409C-BE32-E72D297353CC}">
                <c16:uniqueId val="{00000013-0642-4AD0-B7A7-9BB231BFA92B}"/>
              </c:ext>
            </c:extLst>
          </c:dPt>
          <c:dPt>
            <c:idx val="10"/>
            <c:bubble3D val="0"/>
            <c:spPr>
              <a:noFill/>
              <a:ln>
                <a:noFill/>
              </a:ln>
              <a:scene3d>
                <a:camera prst="orthographicFront"/>
                <a:lightRig rig="threePt" dir="t"/>
              </a:scene3d>
              <a:sp3d>
                <a:bevelT w="12700"/>
                <a:bevelB w="12700"/>
              </a:sp3d>
            </c:spPr>
            <c:extLst>
              <c:ext xmlns:c16="http://schemas.microsoft.com/office/drawing/2014/chart" uri="{C3380CC4-5D6E-409C-BE32-E72D297353CC}">
                <c16:uniqueId val="{00000015-0642-4AD0-B7A7-9BB231BFA92B}"/>
              </c:ext>
            </c:extLst>
          </c:dPt>
          <c:dLbls>
            <c:dLbl>
              <c:idx val="0"/>
              <c:layout>
                <c:manualLayout>
                  <c:x val="-4.8359240069084652E-2"/>
                  <c:y val="-9.5011876484560567E-2"/>
                </c:manualLayout>
              </c:layout>
              <c:tx>
                <c:rich>
                  <a:bodyPr/>
                  <a:lstStyle/>
                  <a:p>
                    <a:r>
                      <a:rPr lang="en-US"/>
                      <a:t>10%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0642-4AD0-B7A7-9BB231BFA92B}"/>
                </c:ext>
              </c:extLst>
            </c:dLbl>
            <c:dLbl>
              <c:idx val="1"/>
              <c:layout>
                <c:manualLayout>
                  <c:x val="-3.223949337938975E-2"/>
                  <c:y val="-0.10768012668250197"/>
                </c:manualLayout>
              </c:layout>
              <c:tx>
                <c:rich>
                  <a:bodyPr/>
                  <a:lstStyle/>
                  <a:p>
                    <a:r>
                      <a:rPr lang="en-US"/>
                      <a:t>20%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0642-4AD0-B7A7-9BB231BFA92B}"/>
                </c:ext>
              </c:extLst>
            </c:dLbl>
            <c:dLbl>
              <c:idx val="2"/>
              <c:layout>
                <c:manualLayout>
                  <c:x val="-9.2112838226827871E-3"/>
                  <c:y val="-0.10451306413301664"/>
                </c:manualLayout>
              </c:layout>
              <c:tx>
                <c:rich>
                  <a:bodyPr/>
                  <a:lstStyle/>
                  <a:p>
                    <a:r>
                      <a:rPr lang="en-US"/>
                      <a:t>30%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642-4AD0-B7A7-9BB231BFA92B}"/>
                </c:ext>
              </c:extLst>
            </c:dLbl>
            <c:dLbl>
              <c:idx val="3"/>
              <c:layout>
                <c:manualLayout>
                  <c:x val="1.8422567645365574E-2"/>
                  <c:y val="-9.5011876484560567E-2"/>
                </c:manualLayout>
              </c:layout>
              <c:tx>
                <c:rich>
                  <a:bodyPr/>
                  <a:lstStyle/>
                  <a:p>
                    <a:r>
                      <a:rPr lang="en-US"/>
                      <a:t>40%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642-4AD0-B7A7-9BB231BFA92B}"/>
                </c:ext>
              </c:extLst>
            </c:dLbl>
            <c:dLbl>
              <c:idx val="4"/>
              <c:layout>
                <c:manualLayout>
                  <c:x val="4.8099012715201075E-2"/>
                  <c:y val="-0.10688162397421841"/>
                </c:manualLayout>
              </c:layout>
              <c:tx>
                <c:rich>
                  <a:bodyPr/>
                  <a:lstStyle/>
                  <a:p>
                    <a:r>
                      <a:rPr lang="en-US"/>
                      <a:t>50%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0642-4AD0-B7A7-9BB231BFA92B}"/>
                </c:ext>
              </c:extLst>
            </c:dLbl>
            <c:dLbl>
              <c:idx val="5"/>
              <c:layout>
                <c:manualLayout>
                  <c:x val="7.5993091537132906E-2"/>
                  <c:y val="-6.320541760722348E-2"/>
                </c:manualLayout>
              </c:layout>
              <c:tx>
                <c:rich>
                  <a:bodyPr/>
                  <a:lstStyle/>
                  <a:p>
                    <a:r>
                      <a:rPr lang="en-US"/>
                      <a:t>60%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0642-4AD0-B7A7-9BB231BFA92B}"/>
                </c:ext>
              </c:extLst>
            </c:dLbl>
            <c:dLbl>
              <c:idx val="6"/>
              <c:layout>
                <c:manualLayout>
                  <c:x val="9.6718480138169263E-2"/>
                  <c:y val="-3.0097817908201655E-2"/>
                </c:manualLayout>
              </c:layout>
              <c:tx>
                <c:rich>
                  <a:bodyPr/>
                  <a:lstStyle/>
                  <a:p>
                    <a:r>
                      <a:rPr lang="en-US"/>
                      <a:t>70%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0642-4AD0-B7A7-9BB231BFA92B}"/>
                </c:ext>
              </c:extLst>
            </c:dLbl>
            <c:dLbl>
              <c:idx val="7"/>
              <c:layout>
                <c:manualLayout>
                  <c:x val="9.6718480138169263E-2"/>
                  <c:y val="-1.2039127163280689E-2"/>
                </c:manualLayout>
              </c:layout>
              <c:tx>
                <c:rich>
                  <a:bodyPr/>
                  <a:lstStyle/>
                  <a:p>
                    <a:r>
                      <a:rPr lang="en-US"/>
                      <a:t>80%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0642-4AD0-B7A7-9BB231BFA92B}"/>
                </c:ext>
              </c:extLst>
            </c:dLbl>
            <c:dLbl>
              <c:idx val="8"/>
              <c:layout>
                <c:manualLayout>
                  <c:x val="8.9810017271157172E-2"/>
                  <c:y val="2.4078254326561323E-2"/>
                </c:manualLayout>
              </c:layout>
              <c:tx>
                <c:rich>
                  <a:bodyPr/>
                  <a:lstStyle/>
                  <a:p>
                    <a:r>
                      <a:rPr lang="en-US"/>
                      <a:t>90%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0642-4AD0-B7A7-9BB231BFA92B}"/>
                </c:ext>
              </c:extLst>
            </c:dLbl>
            <c:dLbl>
              <c:idx val="9"/>
              <c:layout>
                <c:manualLayout>
                  <c:x val="8.0768545875443812E-2"/>
                  <c:y val="4.2161775062898768E-2"/>
                </c:manualLayout>
              </c:layout>
              <c:tx>
                <c:rich>
                  <a:bodyPr/>
                  <a:lstStyle/>
                  <a:p>
                    <a:r>
                      <a:rPr lang="en-US"/>
                      <a:t>100%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0642-4AD0-B7A7-9BB231BFA92B}"/>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0642-4AD0-B7A7-9BB231BFA92B}"/>
                </c:ext>
              </c:extLst>
            </c:dLbl>
            <c:spPr>
              <a:noFill/>
              <a:ln>
                <a:noFill/>
              </a:ln>
              <a:effectLst/>
              <a:scene3d>
                <a:camera prst="orthographicFront"/>
                <a:lightRig rig="threePt" dir="t"/>
              </a:scene3d>
              <a:sp3d>
                <a:bevelT w="6350"/>
              </a:sp3d>
            </c:spPr>
            <c:txPr>
              <a:bodyPr wrap="square" lIns="38100" tIns="19050" rIns="38100" bIns="19050" anchor="ctr">
                <a:spAutoFit/>
              </a:bodyPr>
              <a:lstStyle/>
              <a:p>
                <a:pPr>
                  <a:defRPr sz="1800" b="1">
                    <a:solidFill>
                      <a:srgbClr val="FFFF00"/>
                    </a:solidFill>
                  </a:defRPr>
                </a:pPr>
                <a:endParaRPr lang="es-CO"/>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[2]velocimetro!$A$24:$A$34</c:f>
              <c:strCache>
                <c:ptCount val="11"/>
                <c:pt idx="0">
                  <c:v>#¡REF!</c:v>
                </c:pt>
                <c:pt idx="1">
                  <c:v>#¡REF!</c:v>
                </c:pt>
                <c:pt idx="2">
                  <c:v>#¡REF!</c:v>
                </c:pt>
                <c:pt idx="3">
                  <c:v>#¡REF!</c:v>
                </c:pt>
                <c:pt idx="4">
                  <c:v>#¡REF!</c:v>
                </c:pt>
                <c:pt idx="5">
                  <c:v>#¡REF!</c:v>
                </c:pt>
                <c:pt idx="6">
                  <c:v>#¡REF!</c:v>
                </c:pt>
                <c:pt idx="7">
                  <c:v>#¡REF!</c:v>
                </c:pt>
                <c:pt idx="8">
                  <c:v>#¡REF!</c:v>
                </c:pt>
                <c:pt idx="9">
                  <c:v>#¡REF!</c:v>
                </c:pt>
                <c:pt idx="10">
                  <c:v>#¡REF!</c:v>
                </c:pt>
              </c:strCache>
            </c:strRef>
          </c:cat>
          <c:val>
            <c:numRef>
              <c:f>[3]velocimetro!$B$2:$B$12</c:f>
              <c:numCache>
                <c:formatCode>General</c:formatCode>
                <c:ptCount val="11"/>
              </c:numCache>
            </c:numRef>
          </c:val>
          <c:extLst>
            <c:ext xmlns:c16="http://schemas.microsoft.com/office/drawing/2014/chart" uri="{C3380CC4-5D6E-409C-BE32-E72D297353CC}">
              <c16:uniqueId val="{00000016-0642-4AD0-B7A7-9BB231BFA92B}"/>
            </c:ext>
          </c:extLst>
        </c:ser>
        <c:dLbls>
          <c:showLegendKey val="0"/>
          <c:showVal val="0"/>
          <c:showCatName val="0"/>
          <c:showSerName val="0"/>
          <c:showPercent val="0"/>
          <c:showBubbleSize val="0"/>
          <c:showLeaderLines val="0"/>
        </c:dLbls>
        <c:firstSliceAng val="270"/>
        <c:holeSize val="70"/>
      </c:doughnutChart>
      <c:scatterChart>
        <c:scatterStyle val="smoothMarker"/>
        <c:varyColors val="0"/>
        <c:ser>
          <c:idx val="1"/>
          <c:order val="1"/>
          <c:marker>
            <c:symbol val="none"/>
          </c:marker>
          <c:xVal>
            <c:numRef>
              <c:f>[5]PLANES!$B$24:$B$25</c:f>
              <c:numCache>
                <c:formatCode>General</c:formatCode>
                <c:ptCount val="2"/>
                <c:pt idx="0">
                  <c:v>0</c:v>
                </c:pt>
                <c:pt idx="1">
                  <c:v>0.12908431653574429</c:v>
                </c:pt>
              </c:numCache>
            </c:numRef>
          </c:xVal>
          <c:yVal>
            <c:numRef>
              <c:f>[5]PLANES!$C$24:$C$25</c:f>
              <c:numCache>
                <c:formatCode>General</c:formatCode>
                <c:ptCount val="2"/>
                <c:pt idx="0">
                  <c:v>0</c:v>
                </c:pt>
                <c:pt idx="1">
                  <c:v>0.99163362146737433</c:v>
                </c:pt>
              </c:numCache>
            </c:numRef>
          </c:yVal>
          <c:smooth val="1"/>
          <c:extLst>
            <c:ext xmlns:c16="http://schemas.microsoft.com/office/drawing/2014/chart" uri="{C3380CC4-5D6E-409C-BE32-E72D297353CC}">
              <c16:uniqueId val="{00000017-0642-4AD0-B7A7-9BB231BFA92B}"/>
            </c:ext>
          </c:extLst>
        </c:ser>
        <c:dLbls>
          <c:showLegendKey val="0"/>
          <c:showVal val="0"/>
          <c:showCatName val="0"/>
          <c:showSerName val="0"/>
          <c:showPercent val="0"/>
          <c:showBubbleSize val="0"/>
        </c:dLbls>
        <c:axId val="174814336"/>
        <c:axId val="174808448"/>
      </c:scatterChart>
      <c:valAx>
        <c:axId val="174808448"/>
        <c:scaling>
          <c:orientation val="minMax"/>
          <c:max val="1"/>
          <c:min val="-1"/>
        </c:scaling>
        <c:delete val="1"/>
        <c:axPos val="l"/>
        <c:numFmt formatCode="General" sourceLinked="1"/>
        <c:majorTickMark val="out"/>
        <c:minorTickMark val="none"/>
        <c:tickLblPos val="nextTo"/>
        <c:crossAx val="174814336"/>
        <c:crosses val="autoZero"/>
        <c:crossBetween val="midCat"/>
      </c:valAx>
      <c:valAx>
        <c:axId val="174814336"/>
        <c:scaling>
          <c:orientation val="minMax"/>
          <c:max val="1"/>
          <c:min val="-1"/>
        </c:scaling>
        <c:delete val="1"/>
        <c:axPos val="b"/>
        <c:numFmt formatCode="General" sourceLinked="1"/>
        <c:majorTickMark val="out"/>
        <c:minorTickMark val="none"/>
        <c:tickLblPos val="nextTo"/>
        <c:crossAx val="174808448"/>
        <c:crossesAt val="-1"/>
        <c:crossBetween val="midCat"/>
      </c:valAx>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rgbClr val="FFFF00"/>
                </a:solidFill>
                <a:latin typeface="+mn-lt"/>
                <a:ea typeface="+mn-ea"/>
                <a:cs typeface="+mn-cs"/>
              </a:defRPr>
            </a:pPr>
            <a:r>
              <a:rPr lang="es-CO">
                <a:solidFill>
                  <a:srgbClr val="FFFF00"/>
                </a:solidFill>
              </a:rPr>
              <a:t>CANTIDAD</a:t>
            </a:r>
            <a:r>
              <a:rPr lang="es-CO" baseline="0">
                <a:solidFill>
                  <a:srgbClr val="FFFF00"/>
                </a:solidFill>
              </a:rPr>
              <a:t> DE INDICADORES</a:t>
            </a:r>
            <a:endParaRPr lang="es-CO">
              <a:solidFill>
                <a:srgbClr val="FFFF00"/>
              </a:solidFill>
            </a:endParaRPr>
          </a:p>
        </c:rich>
      </c:tx>
      <c:layout>
        <c:manualLayout>
          <c:xMode val="edge"/>
          <c:yMode val="edge"/>
          <c:x val="0.17755335921551474"/>
          <c:y val="4.3103448275862072E-2"/>
        </c:manualLayout>
      </c:layout>
      <c:overlay val="0"/>
      <c:spPr>
        <a:noFill/>
        <a:ln>
          <a:noFill/>
        </a:ln>
        <a:effectLst/>
      </c:spPr>
      <c:txPr>
        <a:bodyPr rot="0" spcFirstLastPara="1" vertOverflow="ellipsis" vert="horz" wrap="square" anchor="ctr" anchorCtr="1"/>
        <a:lstStyle/>
        <a:p>
          <a:pPr>
            <a:defRPr sz="1800" b="1" i="0" u="none" strike="noStrike" kern="1200" baseline="0">
              <a:solidFill>
                <a:srgbClr val="FFFF00"/>
              </a:solidFill>
              <a:latin typeface="+mn-lt"/>
              <a:ea typeface="+mn-ea"/>
              <a:cs typeface="+mn-cs"/>
            </a:defRPr>
          </a:pPr>
          <a:endParaRPr lang="es-CO"/>
        </a:p>
      </c:txPr>
    </c:title>
    <c:autoTitleDeleted val="0"/>
    <c:plotArea>
      <c:layout/>
      <c:doughnutChart>
        <c:varyColors val="1"/>
        <c:ser>
          <c:idx val="0"/>
          <c:order val="0"/>
          <c:dPt>
            <c:idx val="0"/>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238A-4D67-829C-207D3BD8AE92}"/>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2400" b="1" i="0" u="none" strike="noStrike" kern="1200" baseline="0">
                    <a:solidFill>
                      <a:srgbClr val="FFFF00"/>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val>
            <c:numRef>
              <c:f>'PRINCIPAL (2)'!#REF!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'PRINCIPAL (2)'!#REF!</c15:sqref>
                        </c15:formulaRef>
                      </c:ext>
                    </c:extLst>
                    <c:strCache>
                      <c:ptCount val="1"/>
                      <c:pt idx="0">
                        <c:v>#¡REF!</c:v>
                      </c:pt>
                    </c:strCache>
                  </c:strRef>
                </c15:cat>
              </c15:filteredCategoryTitle>
            </c:ext>
            <c:ext xmlns:c16="http://schemas.microsoft.com/office/drawing/2014/chart" uri="{C3380CC4-5D6E-409C-BE32-E72D297353CC}">
              <c16:uniqueId val="{00000000-238A-4D67-829C-207D3BD8AE92}"/>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egendEntry>
        <c:idx val="0"/>
        <c:txPr>
          <a:bodyPr rot="0" spcFirstLastPara="1" vertOverflow="ellipsis" vert="horz" wrap="square" anchor="ctr" anchorCtr="1"/>
          <a:lstStyle/>
          <a:p>
            <a:pPr>
              <a:defRPr sz="1800" b="0" i="0" u="none" strike="noStrike" kern="1200" baseline="0">
                <a:solidFill>
                  <a:srgbClr val="FFFF00"/>
                </a:solidFill>
                <a:latin typeface="+mn-lt"/>
                <a:ea typeface="+mn-ea"/>
                <a:cs typeface="+mn-cs"/>
              </a:defRPr>
            </a:pPr>
            <a:endParaRPr lang="es-CO"/>
          </a:p>
        </c:txPr>
      </c:legendEntry>
      <c:overlay val="0"/>
      <c:spPr>
        <a:solidFill>
          <a:schemeClr val="lt1">
            <a:lumMod val="95000"/>
            <a:alpha val="39000"/>
          </a:schemeClr>
        </a:solidFill>
        <a:ln>
          <a:noFill/>
        </a:ln>
        <a:effectLst/>
      </c:spPr>
      <c:txPr>
        <a:bodyPr rot="0" spcFirstLastPara="1" vertOverflow="ellipsis" vert="horz" wrap="square" anchor="ctr" anchorCtr="1"/>
        <a:lstStyle/>
        <a:p>
          <a:pPr>
            <a:defRPr sz="1800" b="0" i="0" u="none" strike="noStrike" kern="1200" baseline="0">
              <a:solidFill>
                <a:schemeClr val="dk1">
                  <a:lumMod val="75000"/>
                  <a:lumOff val="2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60000"/>
    </a:soli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rgbClr val="C00000"/>
                </a:solidFill>
                <a:latin typeface="+mn-lt"/>
                <a:ea typeface="+mn-ea"/>
                <a:cs typeface="+mn-cs"/>
              </a:defRPr>
            </a:pPr>
            <a:r>
              <a:rPr lang="es-CO" sz="2800" b="1">
                <a:solidFill>
                  <a:srgbClr val="C00000"/>
                </a:solidFill>
              </a:rPr>
              <a:t>CLASE DE INDICADORES</a:t>
            </a:r>
            <a:endParaRPr lang="es-CO" b="1">
              <a:solidFill>
                <a:srgbClr val="C00000"/>
              </a:solidFill>
            </a:endParaRPr>
          </a:p>
        </c:rich>
      </c:tx>
      <c:layout>
        <c:manualLayout>
          <c:xMode val="edge"/>
          <c:yMode val="edge"/>
          <c:x val="0.13574872093930856"/>
          <c:y val="0"/>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rgbClr val="C00000"/>
              </a:solidFill>
              <a:latin typeface="+mn-lt"/>
              <a:ea typeface="+mn-ea"/>
              <a:cs typeface="+mn-cs"/>
            </a:defRPr>
          </a:pPr>
          <a:endParaRPr lang="es-CO"/>
        </a:p>
      </c:txPr>
    </c:title>
    <c:autoTitleDeleted val="0"/>
    <c:plotArea>
      <c:layout>
        <c:manualLayout>
          <c:layoutTarget val="inner"/>
          <c:xMode val="edge"/>
          <c:yMode val="edge"/>
          <c:x val="5.0931746805890521E-2"/>
          <c:y val="0.15192782650027495"/>
          <c:w val="0.94629467882910867"/>
          <c:h val="0.71792465955085627"/>
        </c:manualLayout>
      </c:layout>
      <c:barChart>
        <c:barDir val="col"/>
        <c:grouping val="stack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800" b="1"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[5]TABLERO!$Q$19:$S$19</c:f>
              <c:strCache>
                <c:ptCount val="3"/>
                <c:pt idx="0">
                  <c:v>ESTRATÉGICO</c:v>
                </c:pt>
                <c:pt idx="1">
                  <c:v>TÁCTICO</c:v>
                </c:pt>
                <c:pt idx="2">
                  <c:v>OPERATIVO</c:v>
                </c:pt>
              </c:strCache>
            </c:strRef>
          </c:cat>
          <c:val>
            <c:numRef>
              <c:f>[5]TABLERO!$Q$20:$S$20</c:f>
              <c:numCache>
                <c:formatCode>General</c:formatCode>
                <c:ptCount val="3"/>
                <c:pt idx="0">
                  <c:v>1</c:v>
                </c:pt>
                <c:pt idx="1">
                  <c:v>6</c:v>
                </c:pt>
                <c:pt idx="2">
                  <c:v>2</c:v>
                </c:pt>
              </c:numCache>
            </c:numRef>
          </c:val>
          <c:extLst>
            <c:ext xmlns:c16="http://schemas.microsoft.com/office/drawing/2014/chart" uri="{C3380CC4-5D6E-409C-BE32-E72D297353CC}">
              <c16:uniqueId val="{00000006-5846-41B2-A367-1A159FF0B7E8}"/>
            </c:ext>
          </c:extLst>
        </c:ser>
        <c:dLbls>
          <c:showLegendKey val="0"/>
          <c:showVal val="0"/>
          <c:showCatName val="0"/>
          <c:showSerName val="0"/>
          <c:showPercent val="0"/>
          <c:showBubbleSize val="0"/>
        </c:dLbls>
        <c:gapWidth val="150"/>
        <c:overlap val="100"/>
        <c:axId val="1496695760"/>
        <c:axId val="1563017568"/>
      </c:barChart>
      <c:catAx>
        <c:axId val="149669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bg2">
                    <a:lumMod val="50000"/>
                  </a:schemeClr>
                </a:solidFill>
                <a:latin typeface="+mn-lt"/>
                <a:ea typeface="+mn-ea"/>
                <a:cs typeface="+mn-cs"/>
              </a:defRPr>
            </a:pPr>
            <a:endParaRPr lang="es-CO"/>
          </a:p>
        </c:txPr>
        <c:crossAx val="1563017568"/>
        <c:crosses val="autoZero"/>
        <c:auto val="1"/>
        <c:lblAlgn val="ctr"/>
        <c:lblOffset val="100"/>
        <c:noMultiLvlLbl val="0"/>
      </c:catAx>
      <c:valAx>
        <c:axId val="1563017568"/>
        <c:scaling>
          <c:orientation val="minMax"/>
          <c:max val="7"/>
        </c:scaling>
        <c:delete val="1"/>
        <c:axPos val="l"/>
        <c:numFmt formatCode="General" sourceLinked="1"/>
        <c:majorTickMark val="none"/>
        <c:minorTickMark val="none"/>
        <c:tickLblPos val="nextTo"/>
        <c:crossAx val="1496695760"/>
        <c:crosses val="autoZero"/>
        <c:crossBetween val="between"/>
      </c:valAx>
      <c:spPr>
        <a:solidFill>
          <a:srgbClr val="FFFF00"/>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00"/>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929954245465188"/>
          <c:y val="8.0908500862554869E-2"/>
          <c:w val="0.66941020292555165"/>
          <c:h val="0.8650784839530633"/>
        </c:manualLayout>
      </c:layout>
      <c:doughnutChart>
        <c:varyColors val="1"/>
        <c:ser>
          <c:idx val="0"/>
          <c:order val="0"/>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scene3d>
              <a:camera prst="orthographicFront"/>
              <a:lightRig rig="threePt" dir="t"/>
            </a:scene3d>
            <a:sp3d>
              <a:bevelT w="12700"/>
              <a:bevelB w="12700"/>
            </a:sp3d>
          </c:spPr>
          <c:dPt>
            <c:idx val="0"/>
            <c:bubble3D val="0"/>
            <c:spPr>
              <a:solidFill>
                <a:srgbClr val="FF0000"/>
              </a:solidFill>
              <a:ln>
                <a:noFill/>
              </a:ln>
              <a:scene3d>
                <a:camera prst="orthographicFront"/>
                <a:lightRig rig="threePt" dir="t"/>
              </a:scene3d>
              <a:sp3d>
                <a:bevelT w="12700"/>
                <a:bevelB w="12700"/>
              </a:sp3d>
            </c:spPr>
            <c:extLst>
              <c:ext xmlns:c16="http://schemas.microsoft.com/office/drawing/2014/chart" uri="{C3380CC4-5D6E-409C-BE32-E72D297353CC}">
                <c16:uniqueId val="{00000001-AEAB-454E-87B0-0B049C7EBED8}"/>
              </c:ext>
            </c:extLst>
          </c:dPt>
          <c:dPt>
            <c:idx val="1"/>
            <c:bubble3D val="0"/>
            <c:spPr>
              <a:gradFill flip="none" rotWithShape="1">
                <a:gsLst>
                  <a:gs pos="0">
                    <a:srgbClr val="FF0000"/>
                  </a:gs>
                  <a:gs pos="98000">
                    <a:srgbClr val="FF3300"/>
                  </a:gs>
                </a:gsLst>
                <a:path path="circle">
                  <a:fillToRect t="100000" r="100000"/>
                </a:path>
                <a:tileRect l="-100000" b="-100000"/>
              </a:gradFill>
              <a:ln>
                <a:noFill/>
              </a:ln>
              <a:scene3d>
                <a:camera prst="orthographicFront"/>
                <a:lightRig rig="threePt" dir="t"/>
              </a:scene3d>
              <a:sp3d>
                <a:bevelT w="12700"/>
                <a:bevelB w="12700"/>
              </a:sp3d>
            </c:spPr>
            <c:extLst>
              <c:ext xmlns:c16="http://schemas.microsoft.com/office/drawing/2014/chart" uri="{C3380CC4-5D6E-409C-BE32-E72D297353CC}">
                <c16:uniqueId val="{00000003-AEAB-454E-87B0-0B049C7EBED8}"/>
              </c:ext>
            </c:extLst>
          </c:dPt>
          <c:dPt>
            <c:idx val="2"/>
            <c:bubble3D val="0"/>
            <c:spPr>
              <a:gradFill flip="none" rotWithShape="1">
                <a:gsLst>
                  <a:gs pos="31000">
                    <a:srgbClr val="FF0000"/>
                  </a:gs>
                  <a:gs pos="80000">
                    <a:schemeClr val="accent4">
                      <a:lumMod val="60000"/>
                      <a:lumOff val="40000"/>
                    </a:schemeClr>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5-AEAB-454E-87B0-0B049C7EBED8}"/>
              </c:ext>
            </c:extLst>
          </c:dPt>
          <c:dPt>
            <c:idx val="3"/>
            <c:bubble3D val="0"/>
            <c:spPr>
              <a:gradFill flip="none" rotWithShape="1">
                <a:gsLst>
                  <a:gs pos="0">
                    <a:srgbClr val="FF0000"/>
                  </a:gs>
                  <a:gs pos="81000">
                    <a:srgbClr val="FFC000"/>
                  </a:gs>
                  <a:gs pos="36000">
                    <a:srgbClr val="FFC0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7-AEAB-454E-87B0-0B049C7EBED8}"/>
              </c:ext>
            </c:extLst>
          </c:dPt>
          <c:dPt>
            <c:idx val="4"/>
            <c:bubble3D val="0"/>
            <c:spPr>
              <a:gradFill flip="none" rotWithShape="1">
                <a:gsLst>
                  <a:gs pos="0">
                    <a:srgbClr val="FFFF00"/>
                  </a:gs>
                  <a:gs pos="100000">
                    <a:srgbClr val="FFFF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9-AEAB-454E-87B0-0B049C7EBED8}"/>
              </c:ext>
            </c:extLst>
          </c:dPt>
          <c:dPt>
            <c:idx val="5"/>
            <c:bubble3D val="0"/>
            <c:spPr>
              <a:gradFill flip="none" rotWithShape="1">
                <a:gsLst>
                  <a:gs pos="0">
                    <a:srgbClr val="FFFF00"/>
                  </a:gs>
                  <a:gs pos="100000">
                    <a:schemeClr val="accent6">
                      <a:lumMod val="30000"/>
                      <a:lumOff val="70000"/>
                    </a:schemeClr>
                  </a:gs>
                </a:gsLst>
                <a:lin ang="27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B-AEAB-454E-87B0-0B049C7EBED8}"/>
              </c:ext>
            </c:extLst>
          </c:dPt>
          <c:dPt>
            <c:idx val="6"/>
            <c:bubble3D val="0"/>
            <c:spPr>
              <a:gradFill flip="none" rotWithShape="1">
                <a:gsLst>
                  <a:gs pos="0">
                    <a:schemeClr val="accent6">
                      <a:lumMod val="0"/>
                      <a:lumOff val="100000"/>
                    </a:schemeClr>
                  </a:gs>
                  <a:gs pos="35000">
                    <a:schemeClr val="accent6">
                      <a:lumMod val="0"/>
                      <a:lumOff val="100000"/>
                    </a:schemeClr>
                  </a:gs>
                  <a:gs pos="100000">
                    <a:schemeClr val="accent6">
                      <a:lumMod val="100000"/>
                    </a:schemeClr>
                  </a:gs>
                </a:gsLst>
                <a:path path="circle">
                  <a:fillToRect l="50000" t="-80000" r="50000" b="18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D-AEAB-454E-87B0-0B049C7EBED8}"/>
              </c:ext>
            </c:extLst>
          </c:dPt>
          <c:dPt>
            <c:idx val="7"/>
            <c:bubble3D val="0"/>
            <c:spPr>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F-AEAB-454E-87B0-0B049C7EBED8}"/>
              </c:ext>
            </c:extLst>
          </c:dPt>
          <c:dPt>
            <c:idx val="8"/>
            <c:bubble3D val="0"/>
            <c:spPr>
              <a:gradFill flip="none" rotWithShape="1">
                <a:gsLst>
                  <a:gs pos="0">
                    <a:schemeClr val="accent6">
                      <a:lumMod val="89000"/>
                    </a:schemeClr>
                  </a:gs>
                  <a:gs pos="23000">
                    <a:schemeClr val="accent6">
                      <a:lumMod val="89000"/>
                    </a:schemeClr>
                  </a:gs>
                  <a:gs pos="69000">
                    <a:schemeClr val="accent6">
                      <a:lumMod val="75000"/>
                    </a:schemeClr>
                  </a:gs>
                  <a:gs pos="97000">
                    <a:schemeClr val="accent6">
                      <a:lumMod val="70000"/>
                    </a:schemeClr>
                  </a:gs>
                </a:gsLst>
                <a:path path="circle">
                  <a:fillToRect l="50000" t="50000" r="50000" b="5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11-AEAB-454E-87B0-0B049C7EBED8}"/>
              </c:ext>
            </c:extLst>
          </c:dPt>
          <c:dPt>
            <c:idx val="9"/>
            <c:bubble3D val="0"/>
            <c:spPr>
              <a:solidFill>
                <a:schemeClr val="accent6">
                  <a:lumMod val="75000"/>
                </a:schemeClr>
              </a:solidFill>
              <a:ln>
                <a:noFill/>
              </a:ln>
              <a:scene3d>
                <a:camera prst="orthographicFront"/>
                <a:lightRig rig="threePt" dir="t"/>
              </a:scene3d>
              <a:sp3d>
                <a:bevelT w="12700"/>
                <a:bevelB w="12700"/>
              </a:sp3d>
            </c:spPr>
            <c:extLst>
              <c:ext xmlns:c16="http://schemas.microsoft.com/office/drawing/2014/chart" uri="{C3380CC4-5D6E-409C-BE32-E72D297353CC}">
                <c16:uniqueId val="{00000013-AEAB-454E-87B0-0B049C7EBED8}"/>
              </c:ext>
            </c:extLst>
          </c:dPt>
          <c:dPt>
            <c:idx val="10"/>
            <c:bubble3D val="0"/>
            <c:spPr>
              <a:noFill/>
              <a:ln>
                <a:noFill/>
              </a:ln>
              <a:scene3d>
                <a:camera prst="orthographicFront"/>
                <a:lightRig rig="threePt" dir="t"/>
              </a:scene3d>
              <a:sp3d>
                <a:bevelT w="12700"/>
                <a:bevelB w="12700"/>
              </a:sp3d>
            </c:spPr>
            <c:extLst>
              <c:ext xmlns:c16="http://schemas.microsoft.com/office/drawing/2014/chart" uri="{C3380CC4-5D6E-409C-BE32-E72D297353CC}">
                <c16:uniqueId val="{00000015-AEAB-454E-87B0-0B049C7EBED8}"/>
              </c:ext>
            </c:extLst>
          </c:dPt>
          <c:dLbls>
            <c:dLbl>
              <c:idx val="0"/>
              <c:layout>
                <c:manualLayout>
                  <c:x val="-4.8359240069084652E-2"/>
                  <c:y val="-9.5011876484560567E-2"/>
                </c:manualLayout>
              </c:layout>
              <c:tx>
                <c:rich>
                  <a:bodyPr/>
                  <a:lstStyle/>
                  <a:p>
                    <a:r>
                      <a:rPr lang="en-US"/>
                      <a:t>10%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AEAB-454E-87B0-0B049C7EBED8}"/>
                </c:ext>
              </c:extLst>
            </c:dLbl>
            <c:dLbl>
              <c:idx val="1"/>
              <c:layout>
                <c:manualLayout>
                  <c:x val="-3.223949337938975E-2"/>
                  <c:y val="-0.10768012668250197"/>
                </c:manualLayout>
              </c:layout>
              <c:tx>
                <c:rich>
                  <a:bodyPr/>
                  <a:lstStyle/>
                  <a:p>
                    <a:r>
                      <a:rPr lang="en-US"/>
                      <a:t>20%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AEAB-454E-87B0-0B049C7EBED8}"/>
                </c:ext>
              </c:extLst>
            </c:dLbl>
            <c:dLbl>
              <c:idx val="2"/>
              <c:layout>
                <c:manualLayout>
                  <c:x val="-9.2112838226827871E-3"/>
                  <c:y val="-0.10451306413301664"/>
                </c:manualLayout>
              </c:layout>
              <c:tx>
                <c:rich>
                  <a:bodyPr/>
                  <a:lstStyle/>
                  <a:p>
                    <a:r>
                      <a:rPr lang="en-US"/>
                      <a:t>30%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AEAB-454E-87B0-0B049C7EBED8}"/>
                </c:ext>
              </c:extLst>
            </c:dLbl>
            <c:dLbl>
              <c:idx val="3"/>
              <c:layout>
                <c:manualLayout>
                  <c:x val="1.8422567645365574E-2"/>
                  <c:y val="-9.5011876484560567E-2"/>
                </c:manualLayout>
              </c:layout>
              <c:tx>
                <c:rich>
                  <a:bodyPr/>
                  <a:lstStyle/>
                  <a:p>
                    <a:r>
                      <a:rPr lang="en-US"/>
                      <a:t>40%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EAB-454E-87B0-0B049C7EBED8}"/>
                </c:ext>
              </c:extLst>
            </c:dLbl>
            <c:dLbl>
              <c:idx val="4"/>
              <c:layout>
                <c:manualLayout>
                  <c:x val="4.8099012715201075E-2"/>
                  <c:y val="-0.10688162397421841"/>
                </c:manualLayout>
              </c:layout>
              <c:tx>
                <c:rich>
                  <a:bodyPr/>
                  <a:lstStyle/>
                  <a:p>
                    <a:r>
                      <a:rPr lang="en-US"/>
                      <a:t>50%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AEAB-454E-87B0-0B049C7EBED8}"/>
                </c:ext>
              </c:extLst>
            </c:dLbl>
            <c:dLbl>
              <c:idx val="5"/>
              <c:layout>
                <c:manualLayout>
                  <c:x val="7.5993091537132906E-2"/>
                  <c:y val="-6.320541760722348E-2"/>
                </c:manualLayout>
              </c:layout>
              <c:tx>
                <c:rich>
                  <a:bodyPr/>
                  <a:lstStyle/>
                  <a:p>
                    <a:r>
                      <a:rPr lang="en-US"/>
                      <a:t>60%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AEAB-454E-87B0-0B049C7EBED8}"/>
                </c:ext>
              </c:extLst>
            </c:dLbl>
            <c:dLbl>
              <c:idx val="6"/>
              <c:layout>
                <c:manualLayout>
                  <c:x val="9.6718480138169263E-2"/>
                  <c:y val="-3.0097817908201655E-2"/>
                </c:manualLayout>
              </c:layout>
              <c:tx>
                <c:rich>
                  <a:bodyPr/>
                  <a:lstStyle/>
                  <a:p>
                    <a:r>
                      <a:rPr lang="en-US"/>
                      <a:t>70%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AEAB-454E-87B0-0B049C7EBED8}"/>
                </c:ext>
              </c:extLst>
            </c:dLbl>
            <c:dLbl>
              <c:idx val="7"/>
              <c:layout>
                <c:manualLayout>
                  <c:x val="9.6718480138169263E-2"/>
                  <c:y val="-1.2039127163280689E-2"/>
                </c:manualLayout>
              </c:layout>
              <c:tx>
                <c:rich>
                  <a:bodyPr/>
                  <a:lstStyle/>
                  <a:p>
                    <a:r>
                      <a:rPr lang="en-US"/>
                      <a:t>80%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AEAB-454E-87B0-0B049C7EBED8}"/>
                </c:ext>
              </c:extLst>
            </c:dLbl>
            <c:dLbl>
              <c:idx val="8"/>
              <c:layout>
                <c:manualLayout>
                  <c:x val="8.9810017271157172E-2"/>
                  <c:y val="2.4078254326561323E-2"/>
                </c:manualLayout>
              </c:layout>
              <c:tx>
                <c:rich>
                  <a:bodyPr/>
                  <a:lstStyle/>
                  <a:p>
                    <a:r>
                      <a:rPr lang="en-US"/>
                      <a:t>90%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AEAB-454E-87B0-0B049C7EBED8}"/>
                </c:ext>
              </c:extLst>
            </c:dLbl>
            <c:dLbl>
              <c:idx val="9"/>
              <c:layout>
                <c:manualLayout>
                  <c:x val="8.0768545875443812E-2"/>
                  <c:y val="4.2161775062898768E-2"/>
                </c:manualLayout>
              </c:layout>
              <c:tx>
                <c:rich>
                  <a:bodyPr/>
                  <a:lstStyle/>
                  <a:p>
                    <a:r>
                      <a:rPr lang="en-US"/>
                      <a:t>100%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AEAB-454E-87B0-0B049C7EBED8}"/>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AEAB-454E-87B0-0B049C7EBED8}"/>
                </c:ext>
              </c:extLst>
            </c:dLbl>
            <c:spPr>
              <a:noFill/>
              <a:ln>
                <a:noFill/>
              </a:ln>
              <a:effectLst/>
              <a:scene3d>
                <a:camera prst="orthographicFront"/>
                <a:lightRig rig="threePt" dir="t"/>
              </a:scene3d>
              <a:sp3d>
                <a:bevelT w="6350"/>
              </a:sp3d>
            </c:spPr>
            <c:txPr>
              <a:bodyPr wrap="square" lIns="38100" tIns="19050" rIns="38100" bIns="19050" anchor="ctr">
                <a:spAutoFit/>
              </a:bodyPr>
              <a:lstStyle/>
              <a:p>
                <a:pPr>
                  <a:defRPr sz="1800" b="1">
                    <a:solidFill>
                      <a:srgbClr val="FFFF00"/>
                    </a:solidFill>
                  </a:defRPr>
                </a:pPr>
                <a:endParaRPr lang="es-CO"/>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[2]velocimetro!$A$24:$A$34</c:f>
              <c:strCache>
                <c:ptCount val="11"/>
                <c:pt idx="0">
                  <c:v>#¡REF!</c:v>
                </c:pt>
                <c:pt idx="1">
                  <c:v>#¡REF!</c:v>
                </c:pt>
                <c:pt idx="2">
                  <c:v>#¡REF!</c:v>
                </c:pt>
                <c:pt idx="3">
                  <c:v>#¡REF!</c:v>
                </c:pt>
                <c:pt idx="4">
                  <c:v>#¡REF!</c:v>
                </c:pt>
                <c:pt idx="5">
                  <c:v>#¡REF!</c:v>
                </c:pt>
                <c:pt idx="6">
                  <c:v>#¡REF!</c:v>
                </c:pt>
                <c:pt idx="7">
                  <c:v>#¡REF!</c:v>
                </c:pt>
                <c:pt idx="8">
                  <c:v>#¡REF!</c:v>
                </c:pt>
                <c:pt idx="9">
                  <c:v>#¡REF!</c:v>
                </c:pt>
                <c:pt idx="10">
                  <c:v>#¡REF!</c:v>
                </c:pt>
              </c:strCache>
            </c:strRef>
          </c:cat>
          <c:val>
            <c:numRef>
              <c:f>[3]velocimetro!$B$2:$B$12</c:f>
              <c:numCache>
                <c:formatCode>General</c:formatCode>
                <c:ptCount val="11"/>
              </c:numCache>
            </c:numRef>
          </c:val>
          <c:extLst>
            <c:ext xmlns:c16="http://schemas.microsoft.com/office/drawing/2014/chart" uri="{C3380CC4-5D6E-409C-BE32-E72D297353CC}">
              <c16:uniqueId val="{00000016-AEAB-454E-87B0-0B049C7EBED8}"/>
            </c:ext>
          </c:extLst>
        </c:ser>
        <c:dLbls>
          <c:showLegendKey val="0"/>
          <c:showVal val="0"/>
          <c:showCatName val="0"/>
          <c:showSerName val="0"/>
          <c:showPercent val="0"/>
          <c:showBubbleSize val="0"/>
          <c:showLeaderLines val="0"/>
        </c:dLbls>
        <c:firstSliceAng val="270"/>
        <c:holeSize val="70"/>
      </c:doughnutChart>
      <c:pieChart>
        <c:varyColors val="1"/>
        <c:ser>
          <c:idx val="1"/>
          <c:order val="1"/>
          <c:tx>
            <c:v>Puntero</c:v>
          </c:tx>
          <c:spPr>
            <a:noFill/>
          </c:spPr>
          <c:dPt>
            <c:idx val="1"/>
            <c:bubble3D val="0"/>
            <c:spPr>
              <a:solidFill>
                <a:srgbClr val="ED7D31">
                  <a:lumMod val="75000"/>
                </a:srgbClr>
              </a:solidFill>
            </c:spPr>
            <c:extLst>
              <c:ext xmlns:c16="http://schemas.microsoft.com/office/drawing/2014/chart" uri="{C3380CC4-5D6E-409C-BE32-E72D297353CC}">
                <c16:uniqueId val="{00000018-AEAB-454E-87B0-0B049C7EBED8}"/>
              </c:ext>
            </c:extLst>
          </c:dPt>
          <c:dPt>
            <c:idx val="2"/>
            <c:bubble3D val="0"/>
            <c:extLst>
              <c:ext xmlns:c16="http://schemas.microsoft.com/office/drawing/2014/chart" uri="{C3380CC4-5D6E-409C-BE32-E72D297353CC}">
                <c16:uniqueId val="{00000019-AEAB-454E-87B0-0B049C7EBED8}"/>
              </c:ext>
            </c:extLst>
          </c:dPt>
          <c:val>
            <c:numRef>
              <c:f>'FORMULAS%'!$W$40:$W$42</c:f>
              <c:numCache>
                <c:formatCode>0.0%</c:formatCode>
                <c:ptCount val="3"/>
                <c:pt idx="0">
                  <c:v>0.89296943904967607</c:v>
                </c:pt>
                <c:pt idx="1">
                  <c:v>0.03</c:v>
                </c:pt>
                <c:pt idx="2">
                  <c:v>1.0770305609503239</c:v>
                </c:pt>
              </c:numCache>
            </c:numRef>
          </c:val>
          <c:extLst>
            <c:ext xmlns:c16="http://schemas.microsoft.com/office/drawing/2014/chart" uri="{C3380CC4-5D6E-409C-BE32-E72D297353CC}">
              <c16:uniqueId val="{0000001A-AEAB-454E-87B0-0B049C7EBED8}"/>
            </c:ext>
          </c:extLst>
        </c:ser>
        <c:dLbls>
          <c:showLegendKey val="0"/>
          <c:showVal val="0"/>
          <c:showCatName val="0"/>
          <c:showSerName val="0"/>
          <c:showPercent val="0"/>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929954245465188"/>
          <c:y val="8.0908500862554869E-2"/>
          <c:w val="0.66941020292555165"/>
          <c:h val="0.8650784839530633"/>
        </c:manualLayout>
      </c:layout>
      <c:doughnutChart>
        <c:varyColors val="1"/>
        <c:ser>
          <c:idx val="0"/>
          <c:order val="0"/>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scene3d>
              <a:camera prst="orthographicFront"/>
              <a:lightRig rig="threePt" dir="t"/>
            </a:scene3d>
            <a:sp3d>
              <a:bevelT w="12700"/>
              <a:bevelB w="12700"/>
            </a:sp3d>
          </c:spPr>
          <c:dPt>
            <c:idx val="0"/>
            <c:bubble3D val="0"/>
            <c:spPr>
              <a:solidFill>
                <a:srgbClr val="FF0000"/>
              </a:solidFill>
              <a:ln>
                <a:noFill/>
              </a:ln>
              <a:scene3d>
                <a:camera prst="orthographicFront"/>
                <a:lightRig rig="threePt" dir="t"/>
              </a:scene3d>
              <a:sp3d>
                <a:bevelT w="12700"/>
                <a:bevelB w="12700"/>
              </a:sp3d>
            </c:spPr>
            <c:extLst>
              <c:ext xmlns:c16="http://schemas.microsoft.com/office/drawing/2014/chart" uri="{C3380CC4-5D6E-409C-BE32-E72D297353CC}">
                <c16:uniqueId val="{00000001-A83B-4E9A-B8F7-0F2F72CF679B}"/>
              </c:ext>
            </c:extLst>
          </c:dPt>
          <c:dPt>
            <c:idx val="1"/>
            <c:bubble3D val="0"/>
            <c:spPr>
              <a:gradFill flip="none" rotWithShape="1">
                <a:gsLst>
                  <a:gs pos="0">
                    <a:srgbClr val="FF0000"/>
                  </a:gs>
                  <a:gs pos="98000">
                    <a:srgbClr val="FF3300"/>
                  </a:gs>
                </a:gsLst>
                <a:path path="circle">
                  <a:fillToRect t="100000" r="100000"/>
                </a:path>
                <a:tileRect l="-100000" b="-100000"/>
              </a:gradFill>
              <a:ln>
                <a:noFill/>
              </a:ln>
              <a:scene3d>
                <a:camera prst="orthographicFront"/>
                <a:lightRig rig="threePt" dir="t"/>
              </a:scene3d>
              <a:sp3d>
                <a:bevelT w="12700"/>
                <a:bevelB w="12700"/>
              </a:sp3d>
            </c:spPr>
            <c:extLst>
              <c:ext xmlns:c16="http://schemas.microsoft.com/office/drawing/2014/chart" uri="{C3380CC4-5D6E-409C-BE32-E72D297353CC}">
                <c16:uniqueId val="{00000003-A83B-4E9A-B8F7-0F2F72CF679B}"/>
              </c:ext>
            </c:extLst>
          </c:dPt>
          <c:dPt>
            <c:idx val="2"/>
            <c:bubble3D val="0"/>
            <c:spPr>
              <a:gradFill flip="none" rotWithShape="1">
                <a:gsLst>
                  <a:gs pos="31000">
                    <a:srgbClr val="FF0000"/>
                  </a:gs>
                  <a:gs pos="80000">
                    <a:schemeClr val="accent4">
                      <a:lumMod val="60000"/>
                      <a:lumOff val="40000"/>
                    </a:schemeClr>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5-A83B-4E9A-B8F7-0F2F72CF679B}"/>
              </c:ext>
            </c:extLst>
          </c:dPt>
          <c:dPt>
            <c:idx val="3"/>
            <c:bubble3D val="0"/>
            <c:spPr>
              <a:gradFill flip="none" rotWithShape="1">
                <a:gsLst>
                  <a:gs pos="0">
                    <a:srgbClr val="FF0000"/>
                  </a:gs>
                  <a:gs pos="81000">
                    <a:srgbClr val="FFC000"/>
                  </a:gs>
                  <a:gs pos="36000">
                    <a:srgbClr val="FFC0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7-A83B-4E9A-B8F7-0F2F72CF679B}"/>
              </c:ext>
            </c:extLst>
          </c:dPt>
          <c:dPt>
            <c:idx val="4"/>
            <c:bubble3D val="0"/>
            <c:spPr>
              <a:gradFill flip="none" rotWithShape="1">
                <a:gsLst>
                  <a:gs pos="0">
                    <a:srgbClr val="FFFF00"/>
                  </a:gs>
                  <a:gs pos="100000">
                    <a:srgbClr val="FFFF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9-A83B-4E9A-B8F7-0F2F72CF679B}"/>
              </c:ext>
            </c:extLst>
          </c:dPt>
          <c:dPt>
            <c:idx val="5"/>
            <c:bubble3D val="0"/>
            <c:spPr>
              <a:gradFill flip="none" rotWithShape="1">
                <a:gsLst>
                  <a:gs pos="0">
                    <a:srgbClr val="FFFF00"/>
                  </a:gs>
                  <a:gs pos="100000">
                    <a:schemeClr val="accent6">
                      <a:lumMod val="30000"/>
                      <a:lumOff val="70000"/>
                    </a:schemeClr>
                  </a:gs>
                </a:gsLst>
                <a:lin ang="27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B-A83B-4E9A-B8F7-0F2F72CF679B}"/>
              </c:ext>
            </c:extLst>
          </c:dPt>
          <c:dPt>
            <c:idx val="6"/>
            <c:bubble3D val="0"/>
            <c:spPr>
              <a:gradFill flip="none" rotWithShape="1">
                <a:gsLst>
                  <a:gs pos="0">
                    <a:schemeClr val="accent6">
                      <a:lumMod val="0"/>
                      <a:lumOff val="100000"/>
                    </a:schemeClr>
                  </a:gs>
                  <a:gs pos="35000">
                    <a:schemeClr val="accent6">
                      <a:lumMod val="0"/>
                      <a:lumOff val="100000"/>
                    </a:schemeClr>
                  </a:gs>
                  <a:gs pos="100000">
                    <a:schemeClr val="accent6">
                      <a:lumMod val="100000"/>
                    </a:schemeClr>
                  </a:gs>
                </a:gsLst>
                <a:path path="circle">
                  <a:fillToRect l="50000" t="-80000" r="50000" b="18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D-A83B-4E9A-B8F7-0F2F72CF679B}"/>
              </c:ext>
            </c:extLst>
          </c:dPt>
          <c:dPt>
            <c:idx val="7"/>
            <c:bubble3D val="0"/>
            <c:spPr>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F-A83B-4E9A-B8F7-0F2F72CF679B}"/>
              </c:ext>
            </c:extLst>
          </c:dPt>
          <c:dPt>
            <c:idx val="8"/>
            <c:bubble3D val="0"/>
            <c:spPr>
              <a:gradFill flip="none" rotWithShape="1">
                <a:gsLst>
                  <a:gs pos="0">
                    <a:schemeClr val="accent6">
                      <a:lumMod val="89000"/>
                    </a:schemeClr>
                  </a:gs>
                  <a:gs pos="23000">
                    <a:schemeClr val="accent6">
                      <a:lumMod val="89000"/>
                    </a:schemeClr>
                  </a:gs>
                  <a:gs pos="69000">
                    <a:schemeClr val="accent6">
                      <a:lumMod val="75000"/>
                    </a:schemeClr>
                  </a:gs>
                  <a:gs pos="97000">
                    <a:schemeClr val="accent6">
                      <a:lumMod val="70000"/>
                    </a:schemeClr>
                  </a:gs>
                </a:gsLst>
                <a:path path="circle">
                  <a:fillToRect l="50000" t="50000" r="50000" b="5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11-A83B-4E9A-B8F7-0F2F72CF679B}"/>
              </c:ext>
            </c:extLst>
          </c:dPt>
          <c:dPt>
            <c:idx val="9"/>
            <c:bubble3D val="0"/>
            <c:spPr>
              <a:solidFill>
                <a:schemeClr val="accent6">
                  <a:lumMod val="75000"/>
                </a:schemeClr>
              </a:solidFill>
              <a:ln>
                <a:noFill/>
              </a:ln>
              <a:scene3d>
                <a:camera prst="orthographicFront"/>
                <a:lightRig rig="threePt" dir="t"/>
              </a:scene3d>
              <a:sp3d>
                <a:bevelT w="12700"/>
                <a:bevelB w="12700"/>
              </a:sp3d>
            </c:spPr>
            <c:extLst>
              <c:ext xmlns:c16="http://schemas.microsoft.com/office/drawing/2014/chart" uri="{C3380CC4-5D6E-409C-BE32-E72D297353CC}">
                <c16:uniqueId val="{00000013-A83B-4E9A-B8F7-0F2F72CF679B}"/>
              </c:ext>
            </c:extLst>
          </c:dPt>
          <c:dPt>
            <c:idx val="10"/>
            <c:bubble3D val="0"/>
            <c:spPr>
              <a:noFill/>
              <a:ln>
                <a:noFill/>
              </a:ln>
              <a:scene3d>
                <a:camera prst="orthographicFront"/>
                <a:lightRig rig="threePt" dir="t"/>
              </a:scene3d>
              <a:sp3d>
                <a:bevelT w="12700"/>
                <a:bevelB w="12700"/>
              </a:sp3d>
            </c:spPr>
            <c:extLst>
              <c:ext xmlns:c16="http://schemas.microsoft.com/office/drawing/2014/chart" uri="{C3380CC4-5D6E-409C-BE32-E72D297353CC}">
                <c16:uniqueId val="{00000015-A83B-4E9A-B8F7-0F2F72CF679B}"/>
              </c:ext>
            </c:extLst>
          </c:dPt>
          <c:dLbls>
            <c:dLbl>
              <c:idx val="0"/>
              <c:layout>
                <c:manualLayout>
                  <c:x val="-4.8359240069084652E-2"/>
                  <c:y val="-9.5011876484560567E-2"/>
                </c:manualLayout>
              </c:layout>
              <c:tx>
                <c:rich>
                  <a:bodyPr/>
                  <a:lstStyle/>
                  <a:p>
                    <a:r>
                      <a:rPr lang="en-US"/>
                      <a:t>10%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A83B-4E9A-B8F7-0F2F72CF679B}"/>
                </c:ext>
              </c:extLst>
            </c:dLbl>
            <c:dLbl>
              <c:idx val="1"/>
              <c:layout>
                <c:manualLayout>
                  <c:x val="-3.223949337938975E-2"/>
                  <c:y val="-0.10768012668250197"/>
                </c:manualLayout>
              </c:layout>
              <c:tx>
                <c:rich>
                  <a:bodyPr/>
                  <a:lstStyle/>
                  <a:p>
                    <a:r>
                      <a:rPr lang="en-US"/>
                      <a:t>20%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A83B-4E9A-B8F7-0F2F72CF679B}"/>
                </c:ext>
              </c:extLst>
            </c:dLbl>
            <c:dLbl>
              <c:idx val="2"/>
              <c:layout>
                <c:manualLayout>
                  <c:x val="-9.2112838226827871E-3"/>
                  <c:y val="-0.10451306413301664"/>
                </c:manualLayout>
              </c:layout>
              <c:tx>
                <c:rich>
                  <a:bodyPr/>
                  <a:lstStyle/>
                  <a:p>
                    <a:r>
                      <a:rPr lang="en-US"/>
                      <a:t>30%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A83B-4E9A-B8F7-0F2F72CF679B}"/>
                </c:ext>
              </c:extLst>
            </c:dLbl>
            <c:dLbl>
              <c:idx val="3"/>
              <c:layout>
                <c:manualLayout>
                  <c:x val="1.8422567645365574E-2"/>
                  <c:y val="-9.5011876484560567E-2"/>
                </c:manualLayout>
              </c:layout>
              <c:tx>
                <c:rich>
                  <a:bodyPr/>
                  <a:lstStyle/>
                  <a:p>
                    <a:r>
                      <a:rPr lang="en-US"/>
                      <a:t>40%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83B-4E9A-B8F7-0F2F72CF679B}"/>
                </c:ext>
              </c:extLst>
            </c:dLbl>
            <c:dLbl>
              <c:idx val="4"/>
              <c:layout>
                <c:manualLayout>
                  <c:x val="4.8099012715201075E-2"/>
                  <c:y val="-0.10688162397421841"/>
                </c:manualLayout>
              </c:layout>
              <c:tx>
                <c:rich>
                  <a:bodyPr/>
                  <a:lstStyle/>
                  <a:p>
                    <a:r>
                      <a:rPr lang="en-US"/>
                      <a:t>50%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A83B-4E9A-B8F7-0F2F72CF679B}"/>
                </c:ext>
              </c:extLst>
            </c:dLbl>
            <c:dLbl>
              <c:idx val="5"/>
              <c:layout>
                <c:manualLayout>
                  <c:x val="7.5993091537132906E-2"/>
                  <c:y val="-6.320541760722348E-2"/>
                </c:manualLayout>
              </c:layout>
              <c:tx>
                <c:rich>
                  <a:bodyPr/>
                  <a:lstStyle/>
                  <a:p>
                    <a:r>
                      <a:rPr lang="en-US"/>
                      <a:t>60%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A83B-4E9A-B8F7-0F2F72CF679B}"/>
                </c:ext>
              </c:extLst>
            </c:dLbl>
            <c:dLbl>
              <c:idx val="6"/>
              <c:layout>
                <c:manualLayout>
                  <c:x val="9.6718480138169263E-2"/>
                  <c:y val="-3.0097817908201655E-2"/>
                </c:manualLayout>
              </c:layout>
              <c:tx>
                <c:rich>
                  <a:bodyPr/>
                  <a:lstStyle/>
                  <a:p>
                    <a:r>
                      <a:rPr lang="en-US"/>
                      <a:t>70%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A83B-4E9A-B8F7-0F2F72CF679B}"/>
                </c:ext>
              </c:extLst>
            </c:dLbl>
            <c:dLbl>
              <c:idx val="7"/>
              <c:layout>
                <c:manualLayout>
                  <c:x val="9.6718480138169263E-2"/>
                  <c:y val="-1.2039127163280689E-2"/>
                </c:manualLayout>
              </c:layout>
              <c:tx>
                <c:rich>
                  <a:bodyPr/>
                  <a:lstStyle/>
                  <a:p>
                    <a:r>
                      <a:rPr lang="en-US"/>
                      <a:t>80%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A83B-4E9A-B8F7-0F2F72CF679B}"/>
                </c:ext>
              </c:extLst>
            </c:dLbl>
            <c:dLbl>
              <c:idx val="8"/>
              <c:layout>
                <c:manualLayout>
                  <c:x val="8.9810017271157172E-2"/>
                  <c:y val="2.4078254326561323E-2"/>
                </c:manualLayout>
              </c:layout>
              <c:tx>
                <c:rich>
                  <a:bodyPr/>
                  <a:lstStyle/>
                  <a:p>
                    <a:r>
                      <a:rPr lang="en-US"/>
                      <a:t>90%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A83B-4E9A-B8F7-0F2F72CF679B}"/>
                </c:ext>
              </c:extLst>
            </c:dLbl>
            <c:dLbl>
              <c:idx val="9"/>
              <c:layout>
                <c:manualLayout>
                  <c:x val="8.0768545875443812E-2"/>
                  <c:y val="4.2161775062898768E-2"/>
                </c:manualLayout>
              </c:layout>
              <c:tx>
                <c:rich>
                  <a:bodyPr/>
                  <a:lstStyle/>
                  <a:p>
                    <a:r>
                      <a:rPr lang="en-US"/>
                      <a:t>100%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A83B-4E9A-B8F7-0F2F72CF679B}"/>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A83B-4E9A-B8F7-0F2F72CF679B}"/>
                </c:ext>
              </c:extLst>
            </c:dLbl>
            <c:spPr>
              <a:noFill/>
              <a:ln>
                <a:noFill/>
              </a:ln>
              <a:effectLst/>
              <a:scene3d>
                <a:camera prst="orthographicFront"/>
                <a:lightRig rig="threePt" dir="t"/>
              </a:scene3d>
              <a:sp3d>
                <a:bevelT w="6350"/>
              </a:sp3d>
            </c:spPr>
            <c:txPr>
              <a:bodyPr wrap="square" lIns="38100" tIns="19050" rIns="38100" bIns="19050" anchor="ctr">
                <a:spAutoFit/>
              </a:bodyPr>
              <a:lstStyle/>
              <a:p>
                <a:pPr>
                  <a:defRPr sz="1800" b="1">
                    <a:solidFill>
                      <a:srgbClr val="FFFF00"/>
                    </a:solidFill>
                  </a:defRPr>
                </a:pPr>
                <a:endParaRPr lang="es-CO"/>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[2]velocimetro!$A$24:$A$34</c:f>
              <c:strCache>
                <c:ptCount val="11"/>
                <c:pt idx="0">
                  <c:v>#¡REF!</c:v>
                </c:pt>
                <c:pt idx="1">
                  <c:v>#¡REF!</c:v>
                </c:pt>
                <c:pt idx="2">
                  <c:v>#¡REF!</c:v>
                </c:pt>
                <c:pt idx="3">
                  <c:v>#¡REF!</c:v>
                </c:pt>
                <c:pt idx="4">
                  <c:v>#¡REF!</c:v>
                </c:pt>
                <c:pt idx="5">
                  <c:v>#¡REF!</c:v>
                </c:pt>
                <c:pt idx="6">
                  <c:v>#¡REF!</c:v>
                </c:pt>
                <c:pt idx="7">
                  <c:v>#¡REF!</c:v>
                </c:pt>
                <c:pt idx="8">
                  <c:v>#¡REF!</c:v>
                </c:pt>
                <c:pt idx="9">
                  <c:v>#¡REF!</c:v>
                </c:pt>
                <c:pt idx="10">
                  <c:v>#¡REF!</c:v>
                </c:pt>
              </c:strCache>
            </c:strRef>
          </c:cat>
          <c:val>
            <c:numRef>
              <c:f>[3]velocimetro!$B$2:$B$12</c:f>
              <c:numCache>
                <c:formatCode>General</c:formatCode>
                <c:ptCount val="11"/>
              </c:numCache>
            </c:numRef>
          </c:val>
          <c:extLst>
            <c:ext xmlns:c16="http://schemas.microsoft.com/office/drawing/2014/chart" uri="{C3380CC4-5D6E-409C-BE32-E72D297353CC}">
              <c16:uniqueId val="{00000016-A83B-4E9A-B8F7-0F2F72CF679B}"/>
            </c:ext>
          </c:extLst>
        </c:ser>
        <c:dLbls>
          <c:showLegendKey val="0"/>
          <c:showVal val="0"/>
          <c:showCatName val="0"/>
          <c:showSerName val="0"/>
          <c:showPercent val="0"/>
          <c:showBubbleSize val="0"/>
          <c:showLeaderLines val="0"/>
        </c:dLbls>
        <c:firstSliceAng val="270"/>
        <c:holeSize val="70"/>
      </c:doughnutChart>
      <c:pieChart>
        <c:varyColors val="1"/>
        <c:ser>
          <c:idx val="1"/>
          <c:order val="1"/>
          <c:dPt>
            <c:idx val="0"/>
            <c:bubble3D val="0"/>
            <c:spPr>
              <a:noFill/>
            </c:spPr>
            <c:extLst>
              <c:ext xmlns:c16="http://schemas.microsoft.com/office/drawing/2014/chart" uri="{C3380CC4-5D6E-409C-BE32-E72D297353CC}">
                <c16:uniqueId val="{00000018-A83B-4E9A-B8F7-0F2F72CF679B}"/>
              </c:ext>
            </c:extLst>
          </c:dPt>
          <c:dPt>
            <c:idx val="1"/>
            <c:bubble3D val="0"/>
            <c:spPr>
              <a:solidFill>
                <a:srgbClr val="ED7D31">
                  <a:lumMod val="75000"/>
                </a:srgbClr>
              </a:solidFill>
            </c:spPr>
            <c:extLst>
              <c:ext xmlns:c16="http://schemas.microsoft.com/office/drawing/2014/chart" uri="{C3380CC4-5D6E-409C-BE32-E72D297353CC}">
                <c16:uniqueId val="{0000001A-A83B-4E9A-B8F7-0F2F72CF679B}"/>
              </c:ext>
            </c:extLst>
          </c:dPt>
          <c:dPt>
            <c:idx val="2"/>
            <c:bubble3D val="0"/>
            <c:spPr>
              <a:noFill/>
            </c:spPr>
            <c:extLst>
              <c:ext xmlns:c16="http://schemas.microsoft.com/office/drawing/2014/chart" uri="{C3380CC4-5D6E-409C-BE32-E72D297353CC}">
                <c16:uniqueId val="{0000001C-A83B-4E9A-B8F7-0F2F72CF679B}"/>
              </c:ext>
            </c:extLst>
          </c:dPt>
          <c:val>
            <c:numRef>
              <c:f>'FORMULAS%'!$P$57:$P$59</c:f>
              <c:numCache>
                <c:formatCode>0.0%</c:formatCode>
                <c:ptCount val="3"/>
                <c:pt idx="0">
                  <c:v>0.94201989992645419</c:v>
                </c:pt>
                <c:pt idx="1">
                  <c:v>0.03</c:v>
                </c:pt>
                <c:pt idx="2">
                  <c:v>1.0279801000735458</c:v>
                </c:pt>
              </c:numCache>
            </c:numRef>
          </c:val>
          <c:extLst>
            <c:ext xmlns:c16="http://schemas.microsoft.com/office/drawing/2014/chart" uri="{C3380CC4-5D6E-409C-BE32-E72D297353CC}">
              <c16:uniqueId val="{0000001D-A83B-4E9A-B8F7-0F2F72CF679B}"/>
            </c:ext>
          </c:extLst>
        </c:ser>
        <c:dLbls>
          <c:showLegendKey val="0"/>
          <c:showVal val="0"/>
          <c:showCatName val="0"/>
          <c:showSerName val="0"/>
          <c:showPercent val="0"/>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929954245465188"/>
          <c:y val="8.0908500862554869E-2"/>
          <c:w val="0.66941020292555165"/>
          <c:h val="0.8650784839530633"/>
        </c:manualLayout>
      </c:layout>
      <c:doughnutChart>
        <c:varyColors val="1"/>
        <c:ser>
          <c:idx val="0"/>
          <c:order val="0"/>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scene3d>
              <a:camera prst="orthographicFront"/>
              <a:lightRig rig="threePt" dir="t"/>
            </a:scene3d>
            <a:sp3d>
              <a:bevelT w="12700"/>
              <a:bevelB w="12700"/>
            </a:sp3d>
          </c:spPr>
          <c:dPt>
            <c:idx val="0"/>
            <c:bubble3D val="0"/>
            <c:spPr>
              <a:solidFill>
                <a:srgbClr val="FF0000"/>
              </a:solidFill>
              <a:ln>
                <a:noFill/>
              </a:ln>
              <a:scene3d>
                <a:camera prst="orthographicFront"/>
                <a:lightRig rig="threePt" dir="t"/>
              </a:scene3d>
              <a:sp3d>
                <a:bevelT w="12700"/>
                <a:bevelB w="12700"/>
              </a:sp3d>
            </c:spPr>
            <c:extLst>
              <c:ext xmlns:c16="http://schemas.microsoft.com/office/drawing/2014/chart" uri="{C3380CC4-5D6E-409C-BE32-E72D297353CC}">
                <c16:uniqueId val="{00000001-84F5-47DF-9560-A58BB5258BE9}"/>
              </c:ext>
            </c:extLst>
          </c:dPt>
          <c:dPt>
            <c:idx val="1"/>
            <c:bubble3D val="0"/>
            <c:spPr>
              <a:gradFill flip="none" rotWithShape="1">
                <a:gsLst>
                  <a:gs pos="0">
                    <a:srgbClr val="FF0000"/>
                  </a:gs>
                  <a:gs pos="98000">
                    <a:srgbClr val="FF3300"/>
                  </a:gs>
                </a:gsLst>
                <a:path path="circle">
                  <a:fillToRect t="100000" r="100000"/>
                </a:path>
                <a:tileRect l="-100000" b="-100000"/>
              </a:gradFill>
              <a:ln>
                <a:noFill/>
              </a:ln>
              <a:scene3d>
                <a:camera prst="orthographicFront"/>
                <a:lightRig rig="threePt" dir="t"/>
              </a:scene3d>
              <a:sp3d>
                <a:bevelT w="12700"/>
                <a:bevelB w="12700"/>
              </a:sp3d>
            </c:spPr>
            <c:extLst>
              <c:ext xmlns:c16="http://schemas.microsoft.com/office/drawing/2014/chart" uri="{C3380CC4-5D6E-409C-BE32-E72D297353CC}">
                <c16:uniqueId val="{00000003-84F5-47DF-9560-A58BB5258BE9}"/>
              </c:ext>
            </c:extLst>
          </c:dPt>
          <c:dPt>
            <c:idx val="2"/>
            <c:bubble3D val="0"/>
            <c:spPr>
              <a:gradFill flip="none" rotWithShape="1">
                <a:gsLst>
                  <a:gs pos="31000">
                    <a:srgbClr val="FF0000"/>
                  </a:gs>
                  <a:gs pos="80000">
                    <a:schemeClr val="accent4">
                      <a:lumMod val="60000"/>
                      <a:lumOff val="40000"/>
                    </a:schemeClr>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5-84F5-47DF-9560-A58BB5258BE9}"/>
              </c:ext>
            </c:extLst>
          </c:dPt>
          <c:dPt>
            <c:idx val="3"/>
            <c:bubble3D val="0"/>
            <c:spPr>
              <a:gradFill flip="none" rotWithShape="1">
                <a:gsLst>
                  <a:gs pos="0">
                    <a:srgbClr val="FF0000"/>
                  </a:gs>
                  <a:gs pos="81000">
                    <a:srgbClr val="FFC000"/>
                  </a:gs>
                  <a:gs pos="36000">
                    <a:srgbClr val="FFC0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7-84F5-47DF-9560-A58BB5258BE9}"/>
              </c:ext>
            </c:extLst>
          </c:dPt>
          <c:dPt>
            <c:idx val="4"/>
            <c:bubble3D val="0"/>
            <c:spPr>
              <a:gradFill flip="none" rotWithShape="1">
                <a:gsLst>
                  <a:gs pos="0">
                    <a:srgbClr val="FFFF00"/>
                  </a:gs>
                  <a:gs pos="100000">
                    <a:srgbClr val="FFFF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9-84F5-47DF-9560-A58BB5258BE9}"/>
              </c:ext>
            </c:extLst>
          </c:dPt>
          <c:dPt>
            <c:idx val="5"/>
            <c:bubble3D val="0"/>
            <c:spPr>
              <a:gradFill flip="none" rotWithShape="1">
                <a:gsLst>
                  <a:gs pos="0">
                    <a:srgbClr val="FFFF00"/>
                  </a:gs>
                  <a:gs pos="100000">
                    <a:schemeClr val="accent6">
                      <a:lumMod val="30000"/>
                      <a:lumOff val="70000"/>
                    </a:schemeClr>
                  </a:gs>
                </a:gsLst>
                <a:lin ang="27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B-84F5-47DF-9560-A58BB5258BE9}"/>
              </c:ext>
            </c:extLst>
          </c:dPt>
          <c:dPt>
            <c:idx val="6"/>
            <c:bubble3D val="0"/>
            <c:spPr>
              <a:gradFill flip="none" rotWithShape="1">
                <a:gsLst>
                  <a:gs pos="0">
                    <a:schemeClr val="accent6">
                      <a:lumMod val="0"/>
                      <a:lumOff val="100000"/>
                    </a:schemeClr>
                  </a:gs>
                  <a:gs pos="35000">
                    <a:schemeClr val="accent6">
                      <a:lumMod val="0"/>
                      <a:lumOff val="100000"/>
                    </a:schemeClr>
                  </a:gs>
                  <a:gs pos="100000">
                    <a:schemeClr val="accent6">
                      <a:lumMod val="100000"/>
                    </a:schemeClr>
                  </a:gs>
                </a:gsLst>
                <a:path path="circle">
                  <a:fillToRect l="50000" t="-80000" r="50000" b="18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D-84F5-47DF-9560-A58BB5258BE9}"/>
              </c:ext>
            </c:extLst>
          </c:dPt>
          <c:dPt>
            <c:idx val="7"/>
            <c:bubble3D val="0"/>
            <c:spPr>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F-84F5-47DF-9560-A58BB5258BE9}"/>
              </c:ext>
            </c:extLst>
          </c:dPt>
          <c:dPt>
            <c:idx val="8"/>
            <c:bubble3D val="0"/>
            <c:spPr>
              <a:gradFill flip="none" rotWithShape="1">
                <a:gsLst>
                  <a:gs pos="0">
                    <a:schemeClr val="accent6">
                      <a:lumMod val="89000"/>
                    </a:schemeClr>
                  </a:gs>
                  <a:gs pos="23000">
                    <a:schemeClr val="accent6">
                      <a:lumMod val="89000"/>
                    </a:schemeClr>
                  </a:gs>
                  <a:gs pos="69000">
                    <a:schemeClr val="accent6">
                      <a:lumMod val="75000"/>
                    </a:schemeClr>
                  </a:gs>
                  <a:gs pos="97000">
                    <a:schemeClr val="accent6">
                      <a:lumMod val="70000"/>
                    </a:schemeClr>
                  </a:gs>
                </a:gsLst>
                <a:path path="circle">
                  <a:fillToRect l="50000" t="50000" r="50000" b="5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11-84F5-47DF-9560-A58BB5258BE9}"/>
              </c:ext>
            </c:extLst>
          </c:dPt>
          <c:dPt>
            <c:idx val="9"/>
            <c:bubble3D val="0"/>
            <c:spPr>
              <a:solidFill>
                <a:schemeClr val="accent6">
                  <a:lumMod val="75000"/>
                </a:schemeClr>
              </a:solidFill>
              <a:ln>
                <a:noFill/>
              </a:ln>
              <a:scene3d>
                <a:camera prst="orthographicFront"/>
                <a:lightRig rig="threePt" dir="t"/>
              </a:scene3d>
              <a:sp3d>
                <a:bevelT w="12700"/>
                <a:bevelB w="12700"/>
              </a:sp3d>
            </c:spPr>
            <c:extLst>
              <c:ext xmlns:c16="http://schemas.microsoft.com/office/drawing/2014/chart" uri="{C3380CC4-5D6E-409C-BE32-E72D297353CC}">
                <c16:uniqueId val="{00000013-84F5-47DF-9560-A58BB5258BE9}"/>
              </c:ext>
            </c:extLst>
          </c:dPt>
          <c:dPt>
            <c:idx val="10"/>
            <c:bubble3D val="0"/>
            <c:spPr>
              <a:noFill/>
              <a:ln>
                <a:noFill/>
              </a:ln>
              <a:scene3d>
                <a:camera prst="orthographicFront"/>
                <a:lightRig rig="threePt" dir="t"/>
              </a:scene3d>
              <a:sp3d>
                <a:bevelT w="12700"/>
                <a:bevelB w="12700"/>
              </a:sp3d>
            </c:spPr>
            <c:extLst>
              <c:ext xmlns:c16="http://schemas.microsoft.com/office/drawing/2014/chart" uri="{C3380CC4-5D6E-409C-BE32-E72D297353CC}">
                <c16:uniqueId val="{00000015-84F5-47DF-9560-A58BB5258BE9}"/>
              </c:ext>
            </c:extLst>
          </c:dPt>
          <c:dLbls>
            <c:dLbl>
              <c:idx val="0"/>
              <c:layout>
                <c:manualLayout>
                  <c:x val="-4.8359240069084652E-2"/>
                  <c:y val="-9.5011876484560567E-2"/>
                </c:manualLayout>
              </c:layout>
              <c:tx>
                <c:rich>
                  <a:bodyPr/>
                  <a:lstStyle/>
                  <a:p>
                    <a:r>
                      <a:rPr lang="en-US"/>
                      <a:t>10%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84F5-47DF-9560-A58BB5258BE9}"/>
                </c:ext>
              </c:extLst>
            </c:dLbl>
            <c:dLbl>
              <c:idx val="1"/>
              <c:layout>
                <c:manualLayout>
                  <c:x val="-3.223949337938975E-2"/>
                  <c:y val="-0.10768012668250197"/>
                </c:manualLayout>
              </c:layout>
              <c:tx>
                <c:rich>
                  <a:bodyPr/>
                  <a:lstStyle/>
                  <a:p>
                    <a:r>
                      <a:rPr lang="en-US"/>
                      <a:t>20%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84F5-47DF-9560-A58BB5258BE9}"/>
                </c:ext>
              </c:extLst>
            </c:dLbl>
            <c:dLbl>
              <c:idx val="2"/>
              <c:layout>
                <c:manualLayout>
                  <c:x val="-9.2112838226827871E-3"/>
                  <c:y val="-0.10451306413301664"/>
                </c:manualLayout>
              </c:layout>
              <c:tx>
                <c:rich>
                  <a:bodyPr/>
                  <a:lstStyle/>
                  <a:p>
                    <a:r>
                      <a:rPr lang="en-US"/>
                      <a:t>30%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84F5-47DF-9560-A58BB5258BE9}"/>
                </c:ext>
              </c:extLst>
            </c:dLbl>
            <c:dLbl>
              <c:idx val="3"/>
              <c:layout>
                <c:manualLayout>
                  <c:x val="1.8422567645365574E-2"/>
                  <c:y val="-9.5011876484560567E-2"/>
                </c:manualLayout>
              </c:layout>
              <c:tx>
                <c:rich>
                  <a:bodyPr/>
                  <a:lstStyle/>
                  <a:p>
                    <a:r>
                      <a:rPr lang="en-US"/>
                      <a:t>40%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84F5-47DF-9560-A58BB5258BE9}"/>
                </c:ext>
              </c:extLst>
            </c:dLbl>
            <c:dLbl>
              <c:idx val="4"/>
              <c:layout>
                <c:manualLayout>
                  <c:x val="4.8099012715201075E-2"/>
                  <c:y val="-0.10688162397421841"/>
                </c:manualLayout>
              </c:layout>
              <c:tx>
                <c:rich>
                  <a:bodyPr/>
                  <a:lstStyle/>
                  <a:p>
                    <a:r>
                      <a:rPr lang="en-US"/>
                      <a:t>50%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84F5-47DF-9560-A58BB5258BE9}"/>
                </c:ext>
              </c:extLst>
            </c:dLbl>
            <c:dLbl>
              <c:idx val="5"/>
              <c:layout>
                <c:manualLayout>
                  <c:x val="7.5993091537132906E-2"/>
                  <c:y val="-6.320541760722348E-2"/>
                </c:manualLayout>
              </c:layout>
              <c:tx>
                <c:rich>
                  <a:bodyPr/>
                  <a:lstStyle/>
                  <a:p>
                    <a:r>
                      <a:rPr lang="en-US"/>
                      <a:t>60%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84F5-47DF-9560-A58BB5258BE9}"/>
                </c:ext>
              </c:extLst>
            </c:dLbl>
            <c:dLbl>
              <c:idx val="6"/>
              <c:layout>
                <c:manualLayout>
                  <c:x val="9.6718480138169263E-2"/>
                  <c:y val="-3.0097817908201655E-2"/>
                </c:manualLayout>
              </c:layout>
              <c:tx>
                <c:rich>
                  <a:bodyPr/>
                  <a:lstStyle/>
                  <a:p>
                    <a:r>
                      <a:rPr lang="en-US"/>
                      <a:t>70%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84F5-47DF-9560-A58BB5258BE9}"/>
                </c:ext>
              </c:extLst>
            </c:dLbl>
            <c:dLbl>
              <c:idx val="7"/>
              <c:layout>
                <c:manualLayout>
                  <c:x val="9.6718480138169263E-2"/>
                  <c:y val="-1.2039127163280689E-2"/>
                </c:manualLayout>
              </c:layout>
              <c:tx>
                <c:rich>
                  <a:bodyPr/>
                  <a:lstStyle/>
                  <a:p>
                    <a:r>
                      <a:rPr lang="en-US"/>
                      <a:t>80%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84F5-47DF-9560-A58BB5258BE9}"/>
                </c:ext>
              </c:extLst>
            </c:dLbl>
            <c:dLbl>
              <c:idx val="8"/>
              <c:layout>
                <c:manualLayout>
                  <c:x val="8.9810017271157172E-2"/>
                  <c:y val="2.4078254326561323E-2"/>
                </c:manualLayout>
              </c:layout>
              <c:tx>
                <c:rich>
                  <a:bodyPr/>
                  <a:lstStyle/>
                  <a:p>
                    <a:r>
                      <a:rPr lang="en-US"/>
                      <a:t>90%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84F5-47DF-9560-A58BB5258BE9}"/>
                </c:ext>
              </c:extLst>
            </c:dLbl>
            <c:dLbl>
              <c:idx val="9"/>
              <c:layout>
                <c:manualLayout>
                  <c:x val="8.0768545875443812E-2"/>
                  <c:y val="4.2161775062898768E-2"/>
                </c:manualLayout>
              </c:layout>
              <c:tx>
                <c:rich>
                  <a:bodyPr/>
                  <a:lstStyle/>
                  <a:p>
                    <a:r>
                      <a:rPr lang="en-US"/>
                      <a:t>100%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84F5-47DF-9560-A58BB5258BE9}"/>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84F5-47DF-9560-A58BB5258BE9}"/>
                </c:ext>
              </c:extLst>
            </c:dLbl>
            <c:spPr>
              <a:noFill/>
              <a:ln>
                <a:noFill/>
              </a:ln>
              <a:effectLst/>
              <a:scene3d>
                <a:camera prst="orthographicFront"/>
                <a:lightRig rig="threePt" dir="t"/>
              </a:scene3d>
              <a:sp3d>
                <a:bevelT w="6350"/>
              </a:sp3d>
            </c:spPr>
            <c:txPr>
              <a:bodyPr wrap="square" lIns="38100" tIns="19050" rIns="38100" bIns="19050" anchor="ctr">
                <a:spAutoFit/>
              </a:bodyPr>
              <a:lstStyle/>
              <a:p>
                <a:pPr>
                  <a:defRPr sz="1800" b="1">
                    <a:solidFill>
                      <a:srgbClr val="FFFF00"/>
                    </a:solidFill>
                  </a:defRPr>
                </a:pPr>
                <a:endParaRPr lang="es-CO"/>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[2]velocimetro!$A$24:$A$34</c:f>
              <c:strCache>
                <c:ptCount val="11"/>
                <c:pt idx="0">
                  <c:v>#¡REF!</c:v>
                </c:pt>
                <c:pt idx="1">
                  <c:v>#¡REF!</c:v>
                </c:pt>
                <c:pt idx="2">
                  <c:v>#¡REF!</c:v>
                </c:pt>
                <c:pt idx="3">
                  <c:v>#¡REF!</c:v>
                </c:pt>
                <c:pt idx="4">
                  <c:v>#¡REF!</c:v>
                </c:pt>
                <c:pt idx="5">
                  <c:v>#¡REF!</c:v>
                </c:pt>
                <c:pt idx="6">
                  <c:v>#¡REF!</c:v>
                </c:pt>
                <c:pt idx="7">
                  <c:v>#¡REF!</c:v>
                </c:pt>
                <c:pt idx="8">
                  <c:v>#¡REF!</c:v>
                </c:pt>
                <c:pt idx="9">
                  <c:v>#¡REF!</c:v>
                </c:pt>
                <c:pt idx="10">
                  <c:v>#¡REF!</c:v>
                </c:pt>
              </c:strCache>
            </c:strRef>
          </c:cat>
          <c:val>
            <c:numRef>
              <c:f>[3]velocimetro!$B$2:$B$12</c:f>
              <c:numCache>
                <c:formatCode>General</c:formatCode>
                <c:ptCount val="11"/>
              </c:numCache>
            </c:numRef>
          </c:val>
          <c:extLst>
            <c:ext xmlns:c16="http://schemas.microsoft.com/office/drawing/2014/chart" uri="{C3380CC4-5D6E-409C-BE32-E72D297353CC}">
              <c16:uniqueId val="{00000016-84F5-47DF-9560-A58BB5258BE9}"/>
            </c:ext>
          </c:extLst>
        </c:ser>
        <c:dLbls>
          <c:showLegendKey val="0"/>
          <c:showVal val="0"/>
          <c:showCatName val="0"/>
          <c:showSerName val="0"/>
          <c:showPercent val="0"/>
          <c:showBubbleSize val="0"/>
          <c:showLeaderLines val="0"/>
        </c:dLbls>
        <c:firstSliceAng val="270"/>
        <c:holeSize val="70"/>
      </c:doughnutChart>
      <c:pieChart>
        <c:varyColors val="1"/>
        <c:ser>
          <c:idx val="1"/>
          <c:order val="1"/>
          <c:tx>
            <c:v>Puntero</c:v>
          </c:tx>
          <c:dPt>
            <c:idx val="0"/>
            <c:bubble3D val="0"/>
            <c:spPr>
              <a:noFill/>
            </c:spPr>
            <c:extLst>
              <c:ext xmlns:c16="http://schemas.microsoft.com/office/drawing/2014/chart" uri="{C3380CC4-5D6E-409C-BE32-E72D297353CC}">
                <c16:uniqueId val="{00000018-84F5-47DF-9560-A58BB5258BE9}"/>
              </c:ext>
            </c:extLst>
          </c:dPt>
          <c:dPt>
            <c:idx val="2"/>
            <c:bubble3D val="0"/>
            <c:spPr>
              <a:noFill/>
            </c:spPr>
            <c:extLst>
              <c:ext xmlns:c16="http://schemas.microsoft.com/office/drawing/2014/chart" uri="{C3380CC4-5D6E-409C-BE32-E72D297353CC}">
                <c16:uniqueId val="{0000001A-84F5-47DF-9560-A58BB5258BE9}"/>
              </c:ext>
            </c:extLst>
          </c:dPt>
          <c:val>
            <c:numRef>
              <c:f>'FORMULAS%'!$W$57:$W$59</c:f>
              <c:numCache>
                <c:formatCode>0.0%</c:formatCode>
                <c:ptCount val="3"/>
                <c:pt idx="0">
                  <c:v>0.92061317812548227</c:v>
                </c:pt>
                <c:pt idx="1">
                  <c:v>0.03</c:v>
                </c:pt>
                <c:pt idx="2">
                  <c:v>1.0493868218745177</c:v>
                </c:pt>
              </c:numCache>
            </c:numRef>
          </c:val>
          <c:extLst>
            <c:ext xmlns:c16="http://schemas.microsoft.com/office/drawing/2014/chart" uri="{C3380CC4-5D6E-409C-BE32-E72D297353CC}">
              <c16:uniqueId val="{0000001B-84F5-47DF-9560-A58BB5258BE9}"/>
            </c:ext>
          </c:extLst>
        </c:ser>
        <c:dLbls>
          <c:showLegendKey val="0"/>
          <c:showVal val="0"/>
          <c:showCatName val="0"/>
          <c:showSerName val="0"/>
          <c:showPercent val="0"/>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2400" b="1" i="0" u="none" strike="noStrike" kern="1200" baseline="0">
                <a:solidFill>
                  <a:srgbClr val="FFFF00"/>
                </a:solidFill>
                <a:latin typeface="+mn-lt"/>
                <a:ea typeface="+mn-ea"/>
                <a:cs typeface="+mn-cs"/>
              </a:defRPr>
            </a:pPr>
            <a:r>
              <a:rPr lang="es-CO" sz="2400">
                <a:solidFill>
                  <a:srgbClr val="FFFF00"/>
                </a:solidFill>
              </a:rPr>
              <a:t>CANTIDAD</a:t>
            </a:r>
            <a:r>
              <a:rPr lang="es-CO" sz="2400" baseline="0">
                <a:solidFill>
                  <a:srgbClr val="FFFF00"/>
                </a:solidFill>
              </a:rPr>
              <a:t> DE INDICADORES</a:t>
            </a:r>
            <a:endParaRPr lang="es-CO" sz="2400">
              <a:solidFill>
                <a:srgbClr val="FFFF00"/>
              </a:solidFill>
            </a:endParaRPr>
          </a:p>
        </c:rich>
      </c:tx>
      <c:layout>
        <c:manualLayout>
          <c:xMode val="edge"/>
          <c:yMode val="edge"/>
          <c:x val="0.20068370968217286"/>
          <c:y val="3.8343945702646286E-2"/>
        </c:manualLayout>
      </c:layout>
      <c:overlay val="0"/>
      <c:spPr>
        <a:noFill/>
        <a:ln>
          <a:noFill/>
        </a:ln>
        <a:effectLst/>
      </c:spPr>
      <c:txPr>
        <a:bodyPr rot="0" spcFirstLastPara="1" vertOverflow="ellipsis" vert="horz" wrap="square" anchor="ctr" anchorCtr="1"/>
        <a:lstStyle/>
        <a:p>
          <a:pPr>
            <a:defRPr sz="2400" b="1" i="0" u="none" strike="noStrike" kern="1200" baseline="0">
              <a:solidFill>
                <a:srgbClr val="FFFF00"/>
              </a:solidFill>
              <a:latin typeface="+mn-lt"/>
              <a:ea typeface="+mn-ea"/>
              <a:cs typeface="+mn-cs"/>
            </a:defRPr>
          </a:pPr>
          <a:endParaRPr lang="es-CO"/>
        </a:p>
      </c:txPr>
    </c:title>
    <c:autoTitleDeleted val="0"/>
    <c:plotArea>
      <c:layout/>
      <c:doughnutChart>
        <c:varyColors val="1"/>
        <c:ser>
          <c:idx val="0"/>
          <c:order val="0"/>
          <c:dPt>
            <c:idx val="0"/>
            <c:bubble3D val="0"/>
            <c:spPr>
              <a:solidFill>
                <a:schemeClr val="accent4">
                  <a:tint val="77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B68E-4CB6-91F8-6CD445AF5DFD}"/>
              </c:ext>
            </c:extLst>
          </c:dPt>
          <c:dPt>
            <c:idx val="1"/>
            <c:bubble3D val="0"/>
            <c:spPr>
              <a:solidFill>
                <a:schemeClr val="accent4">
                  <a:shade val="76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B68E-4CB6-91F8-6CD445AF5DFD}"/>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2400" b="1" i="0" u="none" strike="noStrike" kern="1200" baseline="0">
                    <a:solidFill>
                      <a:srgbClr val="FFFF00"/>
                    </a:solidFill>
                    <a:latin typeface="+mn-lt"/>
                    <a:ea typeface="+mn-ea"/>
                    <a:cs typeface="+mn-cs"/>
                  </a:defRPr>
                </a:pPr>
                <a:endParaRPr lang="es-CO"/>
              </a:p>
            </c:txPr>
            <c:showLegendKey val="0"/>
            <c:showVal val="1"/>
            <c:showCatName val="0"/>
            <c:showSerName val="0"/>
            <c:showPercent val="0"/>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'FORMULAS%'!$Q$1:$R$1</c:f>
              <c:strCache>
                <c:ptCount val="2"/>
                <c:pt idx="0">
                  <c:v>Total indicadores Activos</c:v>
                </c:pt>
                <c:pt idx="1">
                  <c:v>Total indicadores  Iactivos</c:v>
                </c:pt>
              </c:strCache>
            </c:strRef>
          </c:cat>
          <c:val>
            <c:numRef>
              <c:f>'FORMULAS%'!$Q$2:$R$2</c:f>
              <c:numCache>
                <c:formatCode>General</c:formatCode>
                <c:ptCount val="2"/>
                <c:pt idx="0">
                  <c:v>64</c:v>
                </c:pt>
                <c:pt idx="1">
                  <c:v>24</c:v>
                </c:pt>
              </c:numCache>
            </c:numRef>
          </c:val>
          <c:extLst>
            <c:ext xmlns:c16="http://schemas.microsoft.com/office/drawing/2014/chart" uri="{C3380CC4-5D6E-409C-BE32-E72D297353CC}">
              <c16:uniqueId val="{00000004-B68E-4CB6-91F8-6CD445AF5DFD}"/>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egendEntry>
        <c:idx val="0"/>
        <c:txPr>
          <a:bodyPr rot="0" spcFirstLastPara="1" vertOverflow="ellipsis" vert="horz" wrap="square" anchor="ctr" anchorCtr="1"/>
          <a:lstStyle/>
          <a:p>
            <a:pPr rtl="0">
              <a:defRPr sz="1800" b="0" i="0" u="none" strike="noStrike" kern="1200" baseline="0">
                <a:solidFill>
                  <a:schemeClr val="tx1"/>
                </a:solidFill>
                <a:latin typeface="+mn-lt"/>
                <a:ea typeface="+mn-ea"/>
                <a:cs typeface="+mn-cs"/>
              </a:defRPr>
            </a:pPr>
            <a:endParaRPr lang="es-CO"/>
          </a:p>
        </c:txPr>
      </c:legendEntry>
      <c:legendEntry>
        <c:idx val="1"/>
        <c:txPr>
          <a:bodyPr rot="0" spcFirstLastPara="1" vertOverflow="ellipsis" vert="horz" wrap="square" anchor="ctr" anchorCtr="1"/>
          <a:lstStyle/>
          <a:p>
            <a:pPr>
              <a:defRPr sz="1800" b="0" i="0" u="none" strike="noStrike" kern="1200" baseline="0">
                <a:solidFill>
                  <a:schemeClr val="tx1"/>
                </a:solidFill>
                <a:latin typeface="+mn-lt"/>
                <a:ea typeface="+mn-ea"/>
                <a:cs typeface="+mn-cs"/>
              </a:defRPr>
            </a:pPr>
            <a:endParaRPr lang="es-CO"/>
          </a:p>
        </c:txPr>
      </c:legendEntry>
      <c:overlay val="0"/>
      <c:spPr>
        <a:solidFill>
          <a:schemeClr val="lt1">
            <a:lumMod val="95000"/>
            <a:alpha val="39000"/>
          </a:schemeClr>
        </a:solidFill>
        <a:ln>
          <a:noFill/>
        </a:ln>
        <a:effectLst/>
      </c:spPr>
      <c:txPr>
        <a:bodyPr rot="0" spcFirstLastPara="1" vertOverflow="ellipsis" vert="horz" wrap="square" anchor="ctr" anchorCtr="1"/>
        <a:lstStyle/>
        <a:p>
          <a:pPr>
            <a:defRPr sz="1800" b="0" i="0" u="none" strike="noStrike" kern="1200" baseline="0">
              <a:solidFill>
                <a:schemeClr val="tx1"/>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1">
        <a:lumMod val="60000"/>
        <a:lumOff val="40000"/>
      </a:schemeClr>
    </a:soli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depthPercent val="60"/>
      <c:rAngAx val="0"/>
      <c:perspective val="100"/>
    </c:view3D>
    <c:floor>
      <c:thickness val="0"/>
      <c:spPr>
        <a:solidFill>
          <a:schemeClr val="lt1">
            <a:lumMod val="95000"/>
          </a:schemeClr>
        </a:solid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4456036745406818E-2"/>
          <c:y val="0.1096631863748309"/>
          <c:w val="0.89332174103237105"/>
          <c:h val="0.77533267616860269"/>
        </c:manualLayout>
      </c:layout>
      <c:bar3DChart>
        <c:barDir val="col"/>
        <c:grouping val="clustered"/>
        <c:varyColors val="0"/>
        <c:ser>
          <c:idx val="0"/>
          <c:order val="0"/>
          <c:tx>
            <c:strRef>
              <c:f>'AGOSTO 2023'!$G$64</c:f>
              <c:strCache>
                <c:ptCount val="1"/>
                <c:pt idx="0">
                  <c:v>PROGRAMADO</c:v>
                </c:pt>
              </c:strCache>
            </c:strRef>
          </c:tx>
          <c:invertIfNegative val="0"/>
          <c:dLbls>
            <c:dLbl>
              <c:idx val="2"/>
              <c:layout>
                <c:manualLayout>
                  <c:x val="-3.717472118959108E-2"/>
                  <c:y val="-3.003003003003006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C9E-49EC-A0C2-9B289037D346}"/>
                </c:ext>
              </c:extLst>
            </c:dLbl>
            <c:spPr>
              <a:noFill/>
              <a:ln>
                <a:noFill/>
              </a:ln>
              <a:effectLst/>
            </c:spPr>
            <c:txPr>
              <a:bodyPr wrap="square" lIns="38100" tIns="19050" rIns="38100" bIns="19050" anchor="ctr">
                <a:spAutoFit/>
              </a:bodyPr>
              <a:lstStyle/>
              <a:p>
                <a:pPr>
                  <a:defRPr sz="20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'AGOSTO 2023'!$F$65:$F$74</c:f>
              <c:numCache>
                <c:formatCode>General</c:formatCode>
                <c:ptCount val="10"/>
                <c:pt idx="0">
                  <c:v>2020</c:v>
                </c:pt>
                <c:pt idx="2">
                  <c:v>2021</c:v>
                </c:pt>
                <c:pt idx="4">
                  <c:v>2022</c:v>
                </c:pt>
                <c:pt idx="6">
                  <c:v>2023</c:v>
                </c:pt>
                <c:pt idx="8">
                  <c:v>2024</c:v>
                </c:pt>
              </c:numCache>
            </c:numRef>
          </c:cat>
          <c:val>
            <c:numRef>
              <c:f>'AGOSTO 2023'!$G$65:$G$74</c:f>
              <c:numCache>
                <c:formatCode>General</c:formatCode>
                <c:ptCount val="10"/>
                <c:pt idx="0">
                  <c:v>0</c:v>
                </c:pt>
                <c:pt idx="2">
                  <c:v>100</c:v>
                </c:pt>
                <c:pt idx="4">
                  <c:v>100</c:v>
                </c:pt>
                <c:pt idx="6">
                  <c:v>100</c:v>
                </c:pt>
                <c:pt idx="8">
                  <c:v>100</c:v>
                </c:pt>
              </c:numCache>
            </c:numRef>
          </c:val>
          <c:extLst>
            <c:ext xmlns:c16="http://schemas.microsoft.com/office/drawing/2014/chart" uri="{C3380CC4-5D6E-409C-BE32-E72D297353CC}">
              <c16:uniqueId val="{00000000-029D-4860-A109-05896E13418E}"/>
            </c:ext>
          </c:extLst>
        </c:ser>
        <c:ser>
          <c:idx val="1"/>
          <c:order val="1"/>
          <c:tx>
            <c:strRef>
              <c:f>'AGOSTO 2023'!$H$64</c:f>
              <c:strCache>
                <c:ptCount val="1"/>
                <c:pt idx="0">
                  <c:v>EJECUTADO</c:v>
                </c:pt>
              </c:strCache>
            </c:strRef>
          </c:tx>
          <c:invertIfNegative val="0"/>
          <c:dLbls>
            <c:dLbl>
              <c:idx val="2"/>
              <c:layout>
                <c:manualLayout>
                  <c:x val="2.4783147459727341E-2"/>
                  <c:y val="-3.4409011913567549E-1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9E-49EC-A0C2-9B289037D346}"/>
                </c:ext>
              </c:extLst>
            </c:dLbl>
            <c:dLbl>
              <c:idx val="4"/>
              <c:layout>
                <c:manualLayout>
                  <c:x val="9.9132589838909543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C9E-49EC-A0C2-9B289037D346}"/>
                </c:ext>
              </c:extLst>
            </c:dLbl>
            <c:spPr>
              <a:noFill/>
              <a:ln>
                <a:noFill/>
              </a:ln>
              <a:effectLst/>
            </c:spPr>
            <c:txPr>
              <a:bodyPr/>
              <a:lstStyle/>
              <a:p>
                <a:pPr>
                  <a:defRPr sz="20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'AGOSTO 2023'!$F$65:$F$74</c:f>
              <c:numCache>
                <c:formatCode>General</c:formatCode>
                <c:ptCount val="10"/>
                <c:pt idx="0">
                  <c:v>2020</c:v>
                </c:pt>
                <c:pt idx="2">
                  <c:v>2021</c:v>
                </c:pt>
                <c:pt idx="4">
                  <c:v>2022</c:v>
                </c:pt>
                <c:pt idx="6">
                  <c:v>2023</c:v>
                </c:pt>
                <c:pt idx="8">
                  <c:v>2024</c:v>
                </c:pt>
              </c:numCache>
            </c:numRef>
          </c:cat>
          <c:val>
            <c:numRef>
              <c:f>'AGOSTO 2023'!$H$65:$H$74</c:f>
              <c:numCache>
                <c:formatCode>0</c:formatCode>
                <c:ptCount val="10"/>
                <c:pt idx="0">
                  <c:v>0</c:v>
                </c:pt>
                <c:pt idx="2">
                  <c:v>100</c:v>
                </c:pt>
                <c:pt idx="4">
                  <c:v>100</c:v>
                </c:pt>
                <c:pt idx="6">
                  <c:v>0</c:v>
                </c:pt>
                <c:pt idx="8">
                  <c:v>0</c:v>
                </c:pt>
              </c:numCache>
            </c:numRef>
          </c:val>
          <c:extLst>
            <c:ext xmlns:c16="http://schemas.microsoft.com/office/drawing/2014/chart" uri="{C3380CC4-5D6E-409C-BE32-E72D297353CC}">
              <c16:uniqueId val="{00000003-029D-4860-A109-05896E13418E}"/>
            </c:ext>
          </c:extLst>
        </c:ser>
        <c:dLbls>
          <c:showLegendKey val="0"/>
          <c:showVal val="0"/>
          <c:showCatName val="0"/>
          <c:showSerName val="0"/>
          <c:showPercent val="0"/>
          <c:showBubbleSize val="0"/>
        </c:dLbls>
        <c:gapWidth val="20"/>
        <c:gapDepth val="28"/>
        <c:shape val="box"/>
        <c:axId val="221317376"/>
        <c:axId val="221327360"/>
        <c:axId val="0"/>
        <c:extLst>
          <c:ext xmlns:c15="http://schemas.microsoft.com/office/drawing/2012/chart" uri="{02D57815-91ED-43cb-92C2-25804820EDAC}">
            <c15:filteredBarSeries>
              <c15:ser>
                <c:idx val="2"/>
                <c:order val="2"/>
                <c:tx>
                  <c:strRef>
                    <c:extLst>
                      <c:ext uri="{02D57815-91ED-43cb-92C2-25804820EDAC}">
                        <c15:formulaRef>
                          <c15:sqref>'[1]FICHA TECNICA'!$G$20</c15:sqref>
                        </c15:formulaRef>
                      </c:ext>
                    </c:extLst>
                    <c:strCache>
                      <c:ptCount val="1"/>
                    </c:strCache>
                  </c:strRef>
                </c:tx>
                <c:spPr>
                  <a:solidFill>
                    <a:schemeClr val="accent3">
                      <a:alpha val="85000"/>
                    </a:schemeClr>
                  </a:solidFill>
                  <a:ln w="9525" cap="flat" cmpd="sng" algn="ctr">
                    <a:solidFill>
                      <a:schemeClr val="accent3">
                        <a:lumMod val="75000"/>
                      </a:schemeClr>
                    </a:solidFill>
                    <a:round/>
                  </a:ln>
                  <a:effectLst/>
                  <a:sp3d contourW="9525">
                    <a:contourClr>
                      <a:schemeClr val="accent3">
                        <a:lumMod val="75000"/>
                      </a:schemeClr>
                    </a:contourClr>
                  </a:sp3d>
                </c:spPr>
                <c:invertIfNegative val="0"/>
                <c:cat>
                  <c:numRef>
                    <c:extLst>
                      <c:ext uri="{02D57815-91ED-43cb-92C2-25804820EDAC}">
                        <c15:formulaRef>
                          <c15:sqref>'AGOSTO 2023'!$F$65:$F$74</c15:sqref>
                        </c15:formulaRef>
                      </c:ext>
                    </c:extLst>
                    <c:numCache>
                      <c:formatCode>General</c:formatCode>
                      <c:ptCount val="10"/>
                      <c:pt idx="0">
                        <c:v>2020</c:v>
                      </c:pt>
                      <c:pt idx="2">
                        <c:v>2021</c:v>
                      </c:pt>
                      <c:pt idx="4">
                        <c:v>2022</c:v>
                      </c:pt>
                      <c:pt idx="6">
                        <c:v>2023</c:v>
                      </c:pt>
                      <c:pt idx="8">
                        <c:v>2024</c:v>
                      </c:pt>
                    </c:numCache>
                  </c:numRef>
                </c:cat>
                <c:val>
                  <c:numRef>
                    <c:extLst>
                      <c:ext uri="{02D57815-91ED-43cb-92C2-25804820EDAC}">
                        <c15:formulaRef>
                          <c15:sqref>'[1]FICHA TECNICA'!$G$21:$G$30</c15:sqref>
                        </c15:formulaRef>
                      </c:ext>
                    </c:extLst>
                    <c:numCache>
                      <c:formatCode>General</c:formatCode>
                      <c:ptCount val="10"/>
                    </c:numCache>
                  </c:numRef>
                </c:val>
                <c:extLst>
                  <c:ext xmlns:c16="http://schemas.microsoft.com/office/drawing/2014/chart" uri="{C3380CC4-5D6E-409C-BE32-E72D297353CC}">
                    <c16:uniqueId val="{00000004-029D-4860-A109-05896E13418E}"/>
                  </c:ext>
                </c:extLst>
              </c15:ser>
            </c15:filteredBarSeries>
          </c:ext>
        </c:extLst>
      </c:bar3DChart>
      <c:catAx>
        <c:axId val="22131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vert="horz"/>
          <a:lstStyle/>
          <a:p>
            <a:pPr>
              <a:defRPr sz="2000" b="1"/>
            </a:pPr>
            <a:endParaRPr lang="es-CO"/>
          </a:p>
        </c:txPr>
        <c:crossAx val="221327360"/>
        <c:crosses val="autoZero"/>
        <c:auto val="1"/>
        <c:lblAlgn val="ctr"/>
        <c:lblOffset val="100"/>
        <c:noMultiLvlLbl val="0"/>
      </c:catAx>
      <c:valAx>
        <c:axId val="221327360"/>
        <c:scaling>
          <c:orientation val="minMax"/>
        </c:scaling>
        <c:delete val="1"/>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crossAx val="221317376"/>
        <c:crosses val="autoZero"/>
        <c:crossBetween val="between"/>
      </c:valAx>
      <c:spPr>
        <a:noFill/>
        <a:ln>
          <a:noFill/>
        </a:ln>
        <a:effectLst/>
      </c:spPr>
    </c:plotArea>
    <c:plotVisOnly val="1"/>
    <c:dispBlanksAs val="gap"/>
    <c:showDLblsOverMax val="0"/>
  </c:chart>
  <c:spPr>
    <a:solidFill>
      <a:schemeClr val="accent3">
        <a:lumMod val="20000"/>
        <a:lumOff val="80000"/>
      </a:schemeClr>
    </a:solidFill>
    <a:ln w="9525" cap="flat" cmpd="sng" algn="ctr">
      <a:noFill/>
      <a:round/>
    </a:ln>
    <a:effectLst/>
  </c:spPr>
  <c:txPr>
    <a:bodyPr/>
    <a:lstStyle/>
    <a:p>
      <a:pPr>
        <a:defRPr>
          <a:solidFill>
            <a:schemeClr val="tx1"/>
          </a:solidFill>
        </a:defRPr>
      </a:pPr>
      <a:endParaRPr lang="es-CO"/>
    </a:p>
  </c:txPr>
  <c:printSettings>
    <c:headerFooter/>
    <c:pageMargins b="0.75" l="0.7" r="0.7" t="0.75" header="0.3" footer="0.3"/>
    <c:pageSetup orientation="portrait"/>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0"/>
      <c:rotY val="0"/>
      <c:depthPercent val="60"/>
      <c:rAngAx val="0"/>
      <c:perspective val="100"/>
    </c:view3D>
    <c:floor>
      <c:thickness val="0"/>
      <c:spPr>
        <a:solidFill>
          <a:schemeClr val="lt1">
            <a:lumMod val="95000"/>
          </a:schemeClr>
        </a:solid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4456036745406818E-2"/>
          <c:y val="0.1096631863748309"/>
          <c:w val="0.89332174103237105"/>
          <c:h val="0.77533267616860269"/>
        </c:manualLayout>
      </c:layout>
      <c:bar3DChart>
        <c:barDir val="col"/>
        <c:grouping val="clustered"/>
        <c:varyColors val="0"/>
        <c:ser>
          <c:idx val="0"/>
          <c:order val="0"/>
          <c:tx>
            <c:strRef>
              <c:f>'Con otro color'!$G$64</c:f>
              <c:strCache>
                <c:ptCount val="1"/>
                <c:pt idx="0">
                  <c:v>PROGRAMADO</c:v>
                </c:pt>
              </c:strCache>
            </c:strRef>
          </c:tx>
          <c:invertIfNegative val="0"/>
          <c:dLbls>
            <c:spPr>
              <a:noFill/>
              <a:ln>
                <a:noFill/>
              </a:ln>
              <a:effectLst/>
            </c:spPr>
            <c:txPr>
              <a:bodyPr wrap="square" lIns="38100" tIns="19050" rIns="38100" bIns="19050" anchor="ctr">
                <a:spAutoFit/>
              </a:bodyPr>
              <a:lstStyle/>
              <a:p>
                <a:pPr>
                  <a:defRPr sz="20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'Con otro color'!$F$65:$F$74</c:f>
              <c:numCache>
                <c:formatCode>General</c:formatCode>
                <c:ptCount val="10"/>
                <c:pt idx="0">
                  <c:v>2020</c:v>
                </c:pt>
                <c:pt idx="2">
                  <c:v>2021</c:v>
                </c:pt>
                <c:pt idx="4">
                  <c:v>2022</c:v>
                </c:pt>
                <c:pt idx="6">
                  <c:v>2023</c:v>
                </c:pt>
                <c:pt idx="8">
                  <c:v>2024</c:v>
                </c:pt>
              </c:numCache>
            </c:numRef>
          </c:cat>
          <c:val>
            <c:numRef>
              <c:f>'Con otro color'!$G$65:$G$74</c:f>
              <c:numCache>
                <c:formatCode>General</c:formatCode>
                <c:ptCount val="10"/>
                <c:pt idx="0">
                  <c:v>4</c:v>
                </c:pt>
                <c:pt idx="2">
                  <c:v>4</c:v>
                </c:pt>
                <c:pt idx="4">
                  <c:v>4</c:v>
                </c:pt>
                <c:pt idx="6">
                  <c:v>100</c:v>
                </c:pt>
                <c:pt idx="8">
                  <c:v>4</c:v>
                </c:pt>
              </c:numCache>
            </c:numRef>
          </c:val>
          <c:extLst>
            <c:ext xmlns:c16="http://schemas.microsoft.com/office/drawing/2014/chart" uri="{C3380CC4-5D6E-409C-BE32-E72D297353CC}">
              <c16:uniqueId val="{00000000-2B65-4E8C-B10D-06862752E195}"/>
            </c:ext>
          </c:extLst>
        </c:ser>
        <c:ser>
          <c:idx val="1"/>
          <c:order val="1"/>
          <c:tx>
            <c:strRef>
              <c:f>'Con otro color'!$H$64</c:f>
              <c:strCache>
                <c:ptCount val="1"/>
                <c:pt idx="0">
                  <c:v>EJECUTADO</c:v>
                </c:pt>
              </c:strCache>
            </c:strRef>
          </c:tx>
          <c:invertIfNegative val="0"/>
          <c:dLbls>
            <c:spPr>
              <a:noFill/>
              <a:ln>
                <a:noFill/>
              </a:ln>
              <a:effectLst/>
            </c:spPr>
            <c:txPr>
              <a:bodyPr/>
              <a:lstStyle/>
              <a:p>
                <a:pPr>
                  <a:defRPr sz="20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'Con otro color'!$F$65:$F$74</c:f>
              <c:numCache>
                <c:formatCode>General</c:formatCode>
                <c:ptCount val="10"/>
                <c:pt idx="0">
                  <c:v>2020</c:v>
                </c:pt>
                <c:pt idx="2">
                  <c:v>2021</c:v>
                </c:pt>
                <c:pt idx="4">
                  <c:v>2022</c:v>
                </c:pt>
                <c:pt idx="6">
                  <c:v>2023</c:v>
                </c:pt>
                <c:pt idx="8">
                  <c:v>2024</c:v>
                </c:pt>
              </c:numCache>
            </c:numRef>
          </c:cat>
          <c:val>
            <c:numRef>
              <c:f>'Con otro color'!$H$65:$H$74</c:f>
              <c:numCache>
                <c:formatCode>0</c:formatCode>
                <c:ptCount val="10"/>
                <c:pt idx="0">
                  <c:v>4</c:v>
                </c:pt>
                <c:pt idx="2">
                  <c:v>4</c:v>
                </c:pt>
                <c:pt idx="4">
                  <c:v>4</c:v>
                </c:pt>
                <c:pt idx="6">
                  <c:v>4</c:v>
                </c:pt>
                <c:pt idx="8">
                  <c:v>100</c:v>
                </c:pt>
              </c:numCache>
            </c:numRef>
          </c:val>
          <c:extLst>
            <c:ext xmlns:c16="http://schemas.microsoft.com/office/drawing/2014/chart" uri="{C3380CC4-5D6E-409C-BE32-E72D297353CC}">
              <c16:uniqueId val="{00000001-2B65-4E8C-B10D-06862752E195}"/>
            </c:ext>
          </c:extLst>
        </c:ser>
        <c:dLbls>
          <c:showLegendKey val="0"/>
          <c:showVal val="0"/>
          <c:showCatName val="0"/>
          <c:showSerName val="0"/>
          <c:showPercent val="0"/>
          <c:showBubbleSize val="0"/>
        </c:dLbls>
        <c:gapWidth val="20"/>
        <c:gapDepth val="28"/>
        <c:shape val="box"/>
        <c:axId val="221317376"/>
        <c:axId val="221327360"/>
        <c:axId val="0"/>
        <c:extLst>
          <c:ext xmlns:c15="http://schemas.microsoft.com/office/drawing/2012/chart" uri="{02D57815-91ED-43cb-92C2-25804820EDAC}">
            <c15:filteredBarSeries>
              <c15:ser>
                <c:idx val="2"/>
                <c:order val="2"/>
                <c:tx>
                  <c:strRef>
                    <c:extLst>
                      <c:ext uri="{02D57815-91ED-43cb-92C2-25804820EDAC}">
                        <c15:formulaRef>
                          <c15:sqref>'[1]FICHA TECNICA'!$G$20</c15:sqref>
                        </c15:formulaRef>
                      </c:ext>
                    </c:extLst>
                    <c:strCache>
                      <c:ptCount val="1"/>
                    </c:strCache>
                  </c:strRef>
                </c:tx>
                <c:spPr>
                  <a:solidFill>
                    <a:schemeClr val="accent3">
                      <a:alpha val="85000"/>
                    </a:schemeClr>
                  </a:solidFill>
                  <a:ln w="9525" cap="flat" cmpd="sng" algn="ctr">
                    <a:solidFill>
                      <a:schemeClr val="accent3">
                        <a:lumMod val="75000"/>
                      </a:schemeClr>
                    </a:solidFill>
                    <a:round/>
                  </a:ln>
                  <a:effectLst/>
                  <a:sp3d contourW="9525">
                    <a:contourClr>
                      <a:schemeClr val="accent3">
                        <a:lumMod val="75000"/>
                      </a:schemeClr>
                    </a:contourClr>
                  </a:sp3d>
                </c:spPr>
                <c:invertIfNegative val="0"/>
                <c:cat>
                  <c:numRef>
                    <c:extLst>
                      <c:ext uri="{02D57815-91ED-43cb-92C2-25804820EDAC}">
                        <c15:formulaRef>
                          <c15:sqref>'Con otro color'!$F$65:$F$74</c15:sqref>
                        </c15:formulaRef>
                      </c:ext>
                    </c:extLst>
                    <c:numCache>
                      <c:formatCode>General</c:formatCode>
                      <c:ptCount val="10"/>
                      <c:pt idx="0">
                        <c:v>2020</c:v>
                      </c:pt>
                      <c:pt idx="2">
                        <c:v>2021</c:v>
                      </c:pt>
                      <c:pt idx="4">
                        <c:v>2022</c:v>
                      </c:pt>
                      <c:pt idx="6">
                        <c:v>2023</c:v>
                      </c:pt>
                      <c:pt idx="8">
                        <c:v>2024</c:v>
                      </c:pt>
                    </c:numCache>
                  </c:numRef>
                </c:cat>
                <c:val>
                  <c:numRef>
                    <c:extLst>
                      <c:ext uri="{02D57815-91ED-43cb-92C2-25804820EDAC}">
                        <c15:formulaRef>
                          <c15:sqref>'[1]FICHA TECNICA'!$G$21:$G$30</c15:sqref>
                        </c15:formulaRef>
                      </c:ext>
                    </c:extLst>
                    <c:numCache>
                      <c:formatCode>General</c:formatCode>
                      <c:ptCount val="10"/>
                    </c:numCache>
                  </c:numRef>
                </c:val>
                <c:extLst>
                  <c:ext xmlns:c16="http://schemas.microsoft.com/office/drawing/2014/chart" uri="{C3380CC4-5D6E-409C-BE32-E72D297353CC}">
                    <c16:uniqueId val="{00000002-2B65-4E8C-B10D-06862752E195}"/>
                  </c:ext>
                </c:extLst>
              </c15:ser>
            </c15:filteredBarSeries>
          </c:ext>
        </c:extLst>
      </c:bar3DChart>
      <c:catAx>
        <c:axId val="22131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vert="horz"/>
          <a:lstStyle/>
          <a:p>
            <a:pPr>
              <a:defRPr sz="2000" b="1"/>
            </a:pPr>
            <a:endParaRPr lang="es-CO"/>
          </a:p>
        </c:txPr>
        <c:crossAx val="221327360"/>
        <c:crosses val="autoZero"/>
        <c:auto val="1"/>
        <c:lblAlgn val="ctr"/>
        <c:lblOffset val="100"/>
        <c:noMultiLvlLbl val="0"/>
      </c:catAx>
      <c:valAx>
        <c:axId val="221327360"/>
        <c:scaling>
          <c:orientation val="minMax"/>
        </c:scaling>
        <c:delete val="1"/>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crossAx val="221317376"/>
        <c:crosses val="autoZero"/>
        <c:crossBetween val="between"/>
      </c:valAx>
      <c:spPr>
        <a:noFill/>
        <a:ln>
          <a:noFill/>
        </a:ln>
        <a:effectLst/>
      </c:spPr>
    </c:plotArea>
    <c:plotVisOnly val="1"/>
    <c:dispBlanksAs val="gap"/>
    <c:showDLblsOverMax val="0"/>
  </c:chart>
  <c:spPr>
    <a:solidFill>
      <a:schemeClr val="accent3">
        <a:lumMod val="20000"/>
        <a:lumOff val="80000"/>
      </a:schemeClr>
    </a:solidFill>
    <a:ln w="9525" cap="flat" cmpd="sng" algn="ctr">
      <a:noFill/>
      <a:round/>
    </a:ln>
    <a:effectLst/>
  </c:spPr>
  <c:txPr>
    <a:bodyPr/>
    <a:lstStyle/>
    <a:p>
      <a:pPr>
        <a:defRPr>
          <a:solidFill>
            <a:schemeClr val="tx1"/>
          </a:solidFill>
        </a:defRPr>
      </a:pPr>
      <a:endParaRPr lang="es-CO"/>
    </a:p>
  </c:txPr>
  <c:printSettings>
    <c:headerFooter/>
    <c:pageMargins b="0.75" l="0.7" r="0.7" t="0.75" header="0.3" footer="0.3"/>
    <c:pageSetup orientation="portrait"/>
  </c:printSettings>
  <c:userShapes r:id="rId1"/>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7333923492581411E-2"/>
          <c:y val="6.5365374743082794E-2"/>
          <c:w val="0.94103865994131797"/>
          <c:h val="0.81051182267629862"/>
        </c:manualLayout>
      </c:layout>
      <c:barChart>
        <c:barDir val="bar"/>
        <c:grouping val="clustered"/>
        <c:varyColors val="0"/>
        <c:ser>
          <c:idx val="0"/>
          <c:order val="0"/>
          <c:tx>
            <c:strRef>
              <c:f>'Con otro color'!$K$64</c:f>
              <c:strCache>
                <c:ptCount val="1"/>
                <c:pt idx="0">
                  <c:v>META</c:v>
                </c:pt>
              </c:strCache>
            </c:strRef>
          </c:tx>
          <c:spPr>
            <a:solidFill>
              <a:schemeClr val="accent1">
                <a:alpha val="85000"/>
              </a:schemeClr>
            </a:solidFill>
            <a:ln w="9525" cap="flat" cmpd="sng" algn="ctr">
              <a:solidFill>
                <a:schemeClr val="accent1">
                  <a:lumMod val="7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'Con otro color'!$J$65:$J$76</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'Con otro color'!$K$65:$K$76</c:f>
              <c:numCache>
                <c:formatCode>General</c:formatCode>
                <c:ptCount val="12"/>
                <c:pt idx="0">
                  <c:v>4</c:v>
                </c:pt>
                <c:pt idx="1">
                  <c:v>4</c:v>
                </c:pt>
                <c:pt idx="2">
                  <c:v>4</c:v>
                </c:pt>
                <c:pt idx="3">
                  <c:v>4</c:v>
                </c:pt>
                <c:pt idx="4">
                  <c:v>4</c:v>
                </c:pt>
                <c:pt idx="5">
                  <c:v>4</c:v>
                </c:pt>
                <c:pt idx="6">
                  <c:v>4</c:v>
                </c:pt>
                <c:pt idx="7">
                  <c:v>4</c:v>
                </c:pt>
                <c:pt idx="8">
                  <c:v>4</c:v>
                </c:pt>
                <c:pt idx="9">
                  <c:v>4</c:v>
                </c:pt>
                <c:pt idx="10">
                  <c:v>4</c:v>
                </c:pt>
                <c:pt idx="11">
                  <c:v>4</c:v>
                </c:pt>
              </c:numCache>
            </c:numRef>
          </c:val>
          <c:extLst>
            <c:ext xmlns:c16="http://schemas.microsoft.com/office/drawing/2014/chart" uri="{C3380CC4-5D6E-409C-BE32-E72D297353CC}">
              <c16:uniqueId val="{00000000-261B-463F-BCA1-36E15CBF1E0E}"/>
            </c:ext>
          </c:extLst>
        </c:ser>
        <c:ser>
          <c:idx val="1"/>
          <c:order val="1"/>
          <c:tx>
            <c:strRef>
              <c:f>'Con otro color'!$L$64</c:f>
              <c:strCache>
                <c:ptCount val="1"/>
                <c:pt idx="0">
                  <c:v>LOGRO</c:v>
                </c:pt>
              </c:strCache>
            </c:strRef>
          </c:tx>
          <c:spPr>
            <a:solidFill>
              <a:schemeClr val="accent2">
                <a:alpha val="85000"/>
              </a:schemeClr>
            </a:solidFill>
            <a:ln w="9525" cap="flat" cmpd="sng" algn="ctr">
              <a:solidFill>
                <a:schemeClr val="accent2">
                  <a:lumMod val="7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'Con otro color'!$J$65:$J$76</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'Con otro color'!$L$65:$L$77</c:f>
              <c:numCache>
                <c:formatCode>0</c:formatCode>
                <c:ptCount val="13"/>
                <c:pt idx="0">
                  <c:v>4</c:v>
                </c:pt>
                <c:pt idx="1">
                  <c:v>4</c:v>
                </c:pt>
                <c:pt idx="2">
                  <c:v>4</c:v>
                </c:pt>
                <c:pt idx="3">
                  <c:v>4</c:v>
                </c:pt>
                <c:pt idx="4">
                  <c:v>4</c:v>
                </c:pt>
                <c:pt idx="5">
                  <c:v>0</c:v>
                </c:pt>
                <c:pt idx="6">
                  <c:v>0</c:v>
                </c:pt>
                <c:pt idx="7">
                  <c:v>0</c:v>
                </c:pt>
                <c:pt idx="8">
                  <c:v>0</c:v>
                </c:pt>
                <c:pt idx="9">
                  <c:v>0</c:v>
                </c:pt>
                <c:pt idx="10">
                  <c:v>0</c:v>
                </c:pt>
                <c:pt idx="11">
                  <c:v>0</c:v>
                </c:pt>
                <c:pt idx="12" formatCode="General">
                  <c:v>0</c:v>
                </c:pt>
              </c:numCache>
            </c:numRef>
          </c:val>
          <c:extLst>
            <c:ext xmlns:c16="http://schemas.microsoft.com/office/drawing/2014/chart" uri="{C3380CC4-5D6E-409C-BE32-E72D297353CC}">
              <c16:uniqueId val="{00000001-261B-463F-BCA1-36E15CBF1E0E}"/>
            </c:ext>
          </c:extLst>
        </c:ser>
        <c:dLbls>
          <c:showLegendKey val="0"/>
          <c:showVal val="1"/>
          <c:showCatName val="0"/>
          <c:showSerName val="0"/>
          <c:showPercent val="0"/>
          <c:showBubbleSize val="0"/>
        </c:dLbls>
        <c:gapWidth val="65"/>
        <c:axId val="221474176"/>
        <c:axId val="221484160"/>
      </c:barChart>
      <c:catAx>
        <c:axId val="221474176"/>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600" b="0" i="0" u="none" strike="noStrike" kern="1200" cap="all" baseline="0">
                <a:solidFill>
                  <a:schemeClr val="dk1">
                    <a:lumMod val="75000"/>
                    <a:lumOff val="25000"/>
                  </a:schemeClr>
                </a:solidFill>
                <a:latin typeface="+mn-lt"/>
                <a:ea typeface="+mn-ea"/>
                <a:cs typeface="+mn-cs"/>
              </a:defRPr>
            </a:pPr>
            <a:endParaRPr lang="es-CO"/>
          </a:p>
        </c:txPr>
        <c:crossAx val="221484160"/>
        <c:crosses val="autoZero"/>
        <c:auto val="1"/>
        <c:lblAlgn val="ctr"/>
        <c:lblOffset val="100"/>
        <c:noMultiLvlLbl val="0"/>
      </c:catAx>
      <c:valAx>
        <c:axId val="221484160"/>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dk1">
                    <a:lumMod val="75000"/>
                    <a:lumOff val="25000"/>
                  </a:schemeClr>
                </a:solidFill>
                <a:latin typeface="+mn-lt"/>
                <a:ea typeface="+mn-ea"/>
                <a:cs typeface="+mn-cs"/>
              </a:defRPr>
            </a:pPr>
            <a:endParaRPr lang="es-CO"/>
          </a:p>
        </c:txPr>
        <c:crossAx val="221474176"/>
        <c:crosses val="autoZero"/>
        <c:crossBetween val="between"/>
      </c:valAx>
      <c:spPr>
        <a:noFill/>
        <a:ln>
          <a:noFill/>
        </a:ln>
        <a:effectLst/>
      </c:spPr>
    </c:plotArea>
    <c:plotVisOnly val="1"/>
    <c:dispBlanksAs val="zero"/>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000000000000899" l="0.70000000000000062" r="0.70000000000000062" t="0.75000000000000899" header="0.30000000000000032" footer="0.30000000000000032"/>
    <c:pageSetup orientation="portrait"/>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200" b="1" i="0" u="none" strike="noStrike" kern="1200" baseline="0">
                <a:solidFill>
                  <a:schemeClr val="dk1">
                    <a:lumMod val="65000"/>
                    <a:lumOff val="35000"/>
                  </a:schemeClr>
                </a:solidFill>
                <a:effectLst/>
                <a:latin typeface="+mn-lt"/>
                <a:ea typeface="+mn-ea"/>
                <a:cs typeface="+mn-cs"/>
              </a:defRPr>
            </a:pPr>
            <a:r>
              <a:rPr lang="es-CO" sz="3200" b="1"/>
              <a:t>CLASE DE INDICADORES</a:t>
            </a:r>
          </a:p>
        </c:rich>
      </c:tx>
      <c:overlay val="0"/>
      <c:spPr>
        <a:noFill/>
        <a:ln>
          <a:noFill/>
        </a:ln>
        <a:effectLst/>
      </c:spPr>
      <c:txPr>
        <a:bodyPr rot="0" spcFirstLastPara="1" vertOverflow="ellipsis" vert="horz" wrap="square" anchor="ctr" anchorCtr="1"/>
        <a:lstStyle/>
        <a:p>
          <a:pPr>
            <a:defRPr sz="3200" b="1"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'FORMULAS%'!$T$1:$V$1</c:f>
              <c:strCache>
                <c:ptCount val="3"/>
                <c:pt idx="0">
                  <c:v>TÁCTICO</c:v>
                </c:pt>
                <c:pt idx="1">
                  <c:v>OPERATIVO</c:v>
                </c:pt>
                <c:pt idx="2">
                  <c:v>ESTRATÉGICO</c:v>
                </c:pt>
              </c:strCache>
            </c:strRef>
          </c:cat>
          <c:val>
            <c:numRef>
              <c:f>'FORMULAS%'!$T$2:$V$2</c:f>
              <c:numCache>
                <c:formatCode>General</c:formatCode>
                <c:ptCount val="3"/>
                <c:pt idx="0">
                  <c:v>25</c:v>
                </c:pt>
                <c:pt idx="1">
                  <c:v>24</c:v>
                </c:pt>
                <c:pt idx="2">
                  <c:v>15</c:v>
                </c:pt>
              </c:numCache>
            </c:numRef>
          </c:val>
          <c:extLst>
            <c:ext xmlns:c16="http://schemas.microsoft.com/office/drawing/2014/chart" uri="{C3380CC4-5D6E-409C-BE32-E72D297353CC}">
              <c16:uniqueId val="{00000000-8873-46EC-9CFC-6E7FD4920530}"/>
            </c:ext>
          </c:extLst>
        </c:ser>
        <c:dLbls>
          <c:dLblPos val="inEnd"/>
          <c:showLegendKey val="0"/>
          <c:showVal val="1"/>
          <c:showCatName val="0"/>
          <c:showSerName val="0"/>
          <c:showPercent val="0"/>
          <c:showBubbleSize val="0"/>
        </c:dLbls>
        <c:gapWidth val="41"/>
        <c:axId val="2039579375"/>
        <c:axId val="1608939343"/>
      </c:barChart>
      <c:catAx>
        <c:axId val="2039579375"/>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000" b="1" i="0" u="none" strike="noStrike" kern="1200" baseline="0">
                <a:solidFill>
                  <a:schemeClr val="tx1"/>
                </a:solidFill>
                <a:effectLst/>
                <a:latin typeface="+mn-lt"/>
                <a:ea typeface="+mn-ea"/>
                <a:cs typeface="+mn-cs"/>
              </a:defRPr>
            </a:pPr>
            <a:endParaRPr lang="es-CO"/>
          </a:p>
        </c:txPr>
        <c:crossAx val="1608939343"/>
        <c:crosses val="autoZero"/>
        <c:auto val="1"/>
        <c:lblAlgn val="ctr"/>
        <c:lblOffset val="100"/>
        <c:noMultiLvlLbl val="0"/>
      </c:catAx>
      <c:valAx>
        <c:axId val="1608939343"/>
        <c:scaling>
          <c:orientation val="minMax"/>
        </c:scaling>
        <c:delete val="1"/>
        <c:axPos val="l"/>
        <c:numFmt formatCode="General" sourceLinked="1"/>
        <c:majorTickMark val="none"/>
        <c:minorTickMark val="none"/>
        <c:tickLblPos val="nextTo"/>
        <c:crossAx val="203957937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929954245465188"/>
          <c:y val="8.0908500862554869E-2"/>
          <c:w val="0.66941020292555165"/>
          <c:h val="0.8650784839530633"/>
        </c:manualLayout>
      </c:layout>
      <c:doughnutChart>
        <c:varyColors val="1"/>
        <c:ser>
          <c:idx val="0"/>
          <c:order val="0"/>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scene3d>
              <a:camera prst="orthographicFront"/>
              <a:lightRig rig="threePt" dir="t"/>
            </a:scene3d>
            <a:sp3d>
              <a:bevelT w="12700"/>
              <a:bevelB w="12700"/>
            </a:sp3d>
          </c:spPr>
          <c:dPt>
            <c:idx val="0"/>
            <c:bubble3D val="0"/>
            <c:spPr>
              <a:solidFill>
                <a:srgbClr val="FF0000"/>
              </a:solidFill>
              <a:ln>
                <a:noFill/>
              </a:ln>
              <a:scene3d>
                <a:camera prst="orthographicFront"/>
                <a:lightRig rig="threePt" dir="t"/>
              </a:scene3d>
              <a:sp3d>
                <a:bevelT w="12700"/>
                <a:bevelB w="12700"/>
              </a:sp3d>
            </c:spPr>
            <c:extLst>
              <c:ext xmlns:c16="http://schemas.microsoft.com/office/drawing/2014/chart" uri="{C3380CC4-5D6E-409C-BE32-E72D297353CC}">
                <c16:uniqueId val="{00000001-57CE-4057-8F35-40B2FD2C5C42}"/>
              </c:ext>
            </c:extLst>
          </c:dPt>
          <c:dPt>
            <c:idx val="1"/>
            <c:bubble3D val="0"/>
            <c:spPr>
              <a:gradFill flip="none" rotWithShape="1">
                <a:gsLst>
                  <a:gs pos="0">
                    <a:srgbClr val="FF0000"/>
                  </a:gs>
                  <a:gs pos="98000">
                    <a:srgbClr val="FF3300"/>
                  </a:gs>
                </a:gsLst>
                <a:path path="circle">
                  <a:fillToRect t="100000" r="100000"/>
                </a:path>
                <a:tileRect l="-100000" b="-100000"/>
              </a:gradFill>
              <a:ln>
                <a:noFill/>
              </a:ln>
              <a:scene3d>
                <a:camera prst="orthographicFront"/>
                <a:lightRig rig="threePt" dir="t"/>
              </a:scene3d>
              <a:sp3d>
                <a:bevelT w="12700"/>
                <a:bevelB w="12700"/>
              </a:sp3d>
            </c:spPr>
            <c:extLst>
              <c:ext xmlns:c16="http://schemas.microsoft.com/office/drawing/2014/chart" uri="{C3380CC4-5D6E-409C-BE32-E72D297353CC}">
                <c16:uniqueId val="{00000003-57CE-4057-8F35-40B2FD2C5C42}"/>
              </c:ext>
            </c:extLst>
          </c:dPt>
          <c:dPt>
            <c:idx val="2"/>
            <c:bubble3D val="0"/>
            <c:spPr>
              <a:gradFill flip="none" rotWithShape="1">
                <a:gsLst>
                  <a:gs pos="31000">
                    <a:srgbClr val="FF0000"/>
                  </a:gs>
                  <a:gs pos="80000">
                    <a:schemeClr val="accent4">
                      <a:lumMod val="60000"/>
                      <a:lumOff val="40000"/>
                    </a:schemeClr>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5-57CE-4057-8F35-40B2FD2C5C42}"/>
              </c:ext>
            </c:extLst>
          </c:dPt>
          <c:dPt>
            <c:idx val="3"/>
            <c:bubble3D val="0"/>
            <c:spPr>
              <a:gradFill flip="none" rotWithShape="1">
                <a:gsLst>
                  <a:gs pos="0">
                    <a:srgbClr val="FF0000"/>
                  </a:gs>
                  <a:gs pos="81000">
                    <a:srgbClr val="FFC000"/>
                  </a:gs>
                  <a:gs pos="36000">
                    <a:srgbClr val="FFC0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7-57CE-4057-8F35-40B2FD2C5C42}"/>
              </c:ext>
            </c:extLst>
          </c:dPt>
          <c:dPt>
            <c:idx val="4"/>
            <c:bubble3D val="0"/>
            <c:spPr>
              <a:gradFill flip="none" rotWithShape="1">
                <a:gsLst>
                  <a:gs pos="0">
                    <a:srgbClr val="FFFF00"/>
                  </a:gs>
                  <a:gs pos="100000">
                    <a:srgbClr val="FFFF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9-57CE-4057-8F35-40B2FD2C5C42}"/>
              </c:ext>
            </c:extLst>
          </c:dPt>
          <c:dPt>
            <c:idx val="5"/>
            <c:bubble3D val="0"/>
            <c:spPr>
              <a:gradFill flip="none" rotWithShape="1">
                <a:gsLst>
                  <a:gs pos="0">
                    <a:srgbClr val="FFFF00"/>
                  </a:gs>
                  <a:gs pos="100000">
                    <a:schemeClr val="accent6">
                      <a:lumMod val="30000"/>
                      <a:lumOff val="70000"/>
                    </a:schemeClr>
                  </a:gs>
                </a:gsLst>
                <a:lin ang="27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B-57CE-4057-8F35-40B2FD2C5C42}"/>
              </c:ext>
            </c:extLst>
          </c:dPt>
          <c:dPt>
            <c:idx val="6"/>
            <c:bubble3D val="0"/>
            <c:spPr>
              <a:gradFill flip="none" rotWithShape="1">
                <a:gsLst>
                  <a:gs pos="0">
                    <a:schemeClr val="accent6">
                      <a:lumMod val="0"/>
                      <a:lumOff val="100000"/>
                    </a:schemeClr>
                  </a:gs>
                  <a:gs pos="35000">
                    <a:schemeClr val="accent6">
                      <a:lumMod val="0"/>
                      <a:lumOff val="100000"/>
                    </a:schemeClr>
                  </a:gs>
                  <a:gs pos="100000">
                    <a:schemeClr val="accent6">
                      <a:lumMod val="100000"/>
                    </a:schemeClr>
                  </a:gs>
                </a:gsLst>
                <a:path path="circle">
                  <a:fillToRect l="50000" t="-80000" r="50000" b="18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D-57CE-4057-8F35-40B2FD2C5C42}"/>
              </c:ext>
            </c:extLst>
          </c:dPt>
          <c:dPt>
            <c:idx val="7"/>
            <c:bubble3D val="0"/>
            <c:spPr>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F-57CE-4057-8F35-40B2FD2C5C42}"/>
              </c:ext>
            </c:extLst>
          </c:dPt>
          <c:dPt>
            <c:idx val="8"/>
            <c:bubble3D val="0"/>
            <c:spPr>
              <a:gradFill flip="none" rotWithShape="1">
                <a:gsLst>
                  <a:gs pos="0">
                    <a:schemeClr val="accent6">
                      <a:lumMod val="89000"/>
                    </a:schemeClr>
                  </a:gs>
                  <a:gs pos="23000">
                    <a:schemeClr val="accent6">
                      <a:lumMod val="89000"/>
                    </a:schemeClr>
                  </a:gs>
                  <a:gs pos="69000">
                    <a:schemeClr val="accent6">
                      <a:lumMod val="75000"/>
                    </a:schemeClr>
                  </a:gs>
                  <a:gs pos="97000">
                    <a:schemeClr val="accent6">
                      <a:lumMod val="70000"/>
                    </a:schemeClr>
                  </a:gs>
                </a:gsLst>
                <a:path path="circle">
                  <a:fillToRect l="50000" t="50000" r="50000" b="5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11-57CE-4057-8F35-40B2FD2C5C42}"/>
              </c:ext>
            </c:extLst>
          </c:dPt>
          <c:dPt>
            <c:idx val="9"/>
            <c:bubble3D val="0"/>
            <c:spPr>
              <a:solidFill>
                <a:schemeClr val="accent6">
                  <a:lumMod val="75000"/>
                </a:schemeClr>
              </a:solidFill>
              <a:ln>
                <a:noFill/>
              </a:ln>
              <a:scene3d>
                <a:camera prst="orthographicFront"/>
                <a:lightRig rig="threePt" dir="t"/>
              </a:scene3d>
              <a:sp3d>
                <a:bevelT w="12700"/>
                <a:bevelB w="12700"/>
              </a:sp3d>
            </c:spPr>
            <c:extLst>
              <c:ext xmlns:c16="http://schemas.microsoft.com/office/drawing/2014/chart" uri="{C3380CC4-5D6E-409C-BE32-E72D297353CC}">
                <c16:uniqueId val="{00000013-57CE-4057-8F35-40B2FD2C5C42}"/>
              </c:ext>
            </c:extLst>
          </c:dPt>
          <c:dPt>
            <c:idx val="10"/>
            <c:bubble3D val="0"/>
            <c:spPr>
              <a:noFill/>
              <a:ln>
                <a:noFill/>
              </a:ln>
              <a:scene3d>
                <a:camera prst="orthographicFront"/>
                <a:lightRig rig="threePt" dir="t"/>
              </a:scene3d>
              <a:sp3d>
                <a:bevelT w="12700"/>
                <a:bevelB w="12700"/>
              </a:sp3d>
            </c:spPr>
            <c:extLst>
              <c:ext xmlns:c16="http://schemas.microsoft.com/office/drawing/2014/chart" uri="{C3380CC4-5D6E-409C-BE32-E72D297353CC}">
                <c16:uniqueId val="{00000015-57CE-4057-8F35-40B2FD2C5C42}"/>
              </c:ext>
            </c:extLst>
          </c:dPt>
          <c:dLbls>
            <c:dLbl>
              <c:idx val="0"/>
              <c:layout>
                <c:manualLayout>
                  <c:x val="-4.8359240069084652E-2"/>
                  <c:y val="-9.5011876484560567E-2"/>
                </c:manualLayout>
              </c:layout>
              <c:tx>
                <c:rich>
                  <a:bodyPr/>
                  <a:lstStyle/>
                  <a:p>
                    <a:r>
                      <a:rPr lang="en-US"/>
                      <a:t>10%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57CE-4057-8F35-40B2FD2C5C42}"/>
                </c:ext>
              </c:extLst>
            </c:dLbl>
            <c:dLbl>
              <c:idx val="1"/>
              <c:layout>
                <c:manualLayout>
                  <c:x val="-3.223949337938975E-2"/>
                  <c:y val="-0.10768012668250197"/>
                </c:manualLayout>
              </c:layout>
              <c:tx>
                <c:rich>
                  <a:bodyPr/>
                  <a:lstStyle/>
                  <a:p>
                    <a:r>
                      <a:rPr lang="en-US"/>
                      <a:t>20%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57CE-4057-8F35-40B2FD2C5C42}"/>
                </c:ext>
              </c:extLst>
            </c:dLbl>
            <c:dLbl>
              <c:idx val="2"/>
              <c:layout>
                <c:manualLayout>
                  <c:x val="-9.2112838226827871E-3"/>
                  <c:y val="-0.10451306413301664"/>
                </c:manualLayout>
              </c:layout>
              <c:tx>
                <c:rich>
                  <a:bodyPr/>
                  <a:lstStyle/>
                  <a:p>
                    <a:r>
                      <a:rPr lang="en-US"/>
                      <a:t>30%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57CE-4057-8F35-40B2FD2C5C42}"/>
                </c:ext>
              </c:extLst>
            </c:dLbl>
            <c:dLbl>
              <c:idx val="3"/>
              <c:layout>
                <c:manualLayout>
                  <c:x val="1.8422567645365574E-2"/>
                  <c:y val="-9.5011876484560567E-2"/>
                </c:manualLayout>
              </c:layout>
              <c:tx>
                <c:rich>
                  <a:bodyPr/>
                  <a:lstStyle/>
                  <a:p>
                    <a:r>
                      <a:rPr lang="en-US"/>
                      <a:t>40%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57CE-4057-8F35-40B2FD2C5C42}"/>
                </c:ext>
              </c:extLst>
            </c:dLbl>
            <c:dLbl>
              <c:idx val="4"/>
              <c:layout>
                <c:manualLayout>
                  <c:x val="4.8099012715201075E-2"/>
                  <c:y val="-0.10688162397421841"/>
                </c:manualLayout>
              </c:layout>
              <c:tx>
                <c:rich>
                  <a:bodyPr/>
                  <a:lstStyle/>
                  <a:p>
                    <a:r>
                      <a:rPr lang="en-US"/>
                      <a:t>50%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57CE-4057-8F35-40B2FD2C5C42}"/>
                </c:ext>
              </c:extLst>
            </c:dLbl>
            <c:dLbl>
              <c:idx val="5"/>
              <c:layout>
                <c:manualLayout>
                  <c:x val="7.5993091537132906E-2"/>
                  <c:y val="-6.320541760722348E-2"/>
                </c:manualLayout>
              </c:layout>
              <c:tx>
                <c:rich>
                  <a:bodyPr/>
                  <a:lstStyle/>
                  <a:p>
                    <a:r>
                      <a:rPr lang="en-US"/>
                      <a:t>60%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57CE-4057-8F35-40B2FD2C5C42}"/>
                </c:ext>
              </c:extLst>
            </c:dLbl>
            <c:dLbl>
              <c:idx val="6"/>
              <c:layout>
                <c:manualLayout>
                  <c:x val="9.6718480138169263E-2"/>
                  <c:y val="-3.0097817908201655E-2"/>
                </c:manualLayout>
              </c:layout>
              <c:tx>
                <c:rich>
                  <a:bodyPr/>
                  <a:lstStyle/>
                  <a:p>
                    <a:r>
                      <a:rPr lang="en-US"/>
                      <a:t>70%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57CE-4057-8F35-40B2FD2C5C42}"/>
                </c:ext>
              </c:extLst>
            </c:dLbl>
            <c:dLbl>
              <c:idx val="7"/>
              <c:layout>
                <c:manualLayout>
                  <c:x val="9.6718480138169263E-2"/>
                  <c:y val="-1.2039127163280689E-2"/>
                </c:manualLayout>
              </c:layout>
              <c:tx>
                <c:rich>
                  <a:bodyPr/>
                  <a:lstStyle/>
                  <a:p>
                    <a:r>
                      <a:rPr lang="en-US"/>
                      <a:t>80%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57CE-4057-8F35-40B2FD2C5C42}"/>
                </c:ext>
              </c:extLst>
            </c:dLbl>
            <c:dLbl>
              <c:idx val="8"/>
              <c:layout>
                <c:manualLayout>
                  <c:x val="8.9810017271157172E-2"/>
                  <c:y val="2.4078254326561323E-2"/>
                </c:manualLayout>
              </c:layout>
              <c:tx>
                <c:rich>
                  <a:bodyPr/>
                  <a:lstStyle/>
                  <a:p>
                    <a:r>
                      <a:rPr lang="en-US"/>
                      <a:t>90%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57CE-4057-8F35-40B2FD2C5C42}"/>
                </c:ext>
              </c:extLst>
            </c:dLbl>
            <c:dLbl>
              <c:idx val="9"/>
              <c:layout>
                <c:manualLayout>
                  <c:x val="8.0768545875443812E-2"/>
                  <c:y val="4.2161775062898768E-2"/>
                </c:manualLayout>
              </c:layout>
              <c:tx>
                <c:rich>
                  <a:bodyPr/>
                  <a:lstStyle/>
                  <a:p>
                    <a:r>
                      <a:rPr lang="en-US"/>
                      <a:t>100%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57CE-4057-8F35-40B2FD2C5C42}"/>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57CE-4057-8F35-40B2FD2C5C42}"/>
                </c:ext>
              </c:extLst>
            </c:dLbl>
            <c:spPr>
              <a:noFill/>
              <a:ln>
                <a:noFill/>
              </a:ln>
              <a:effectLst/>
              <a:scene3d>
                <a:camera prst="orthographicFront"/>
                <a:lightRig rig="threePt" dir="t"/>
              </a:scene3d>
              <a:sp3d>
                <a:bevelT w="6350"/>
              </a:sp3d>
            </c:spPr>
            <c:txPr>
              <a:bodyPr wrap="square" lIns="38100" tIns="19050" rIns="38100" bIns="19050" anchor="ctr">
                <a:spAutoFit/>
              </a:bodyPr>
              <a:lstStyle/>
              <a:p>
                <a:pPr>
                  <a:defRPr sz="1800" b="1">
                    <a:solidFill>
                      <a:srgbClr val="FFFF00"/>
                    </a:solidFill>
                  </a:defRPr>
                </a:pPr>
                <a:endParaRPr lang="es-CO"/>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[2]velocimetro!$A$24:$A$34</c:f>
              <c:strCache>
                <c:ptCount val="11"/>
                <c:pt idx="0">
                  <c:v>#¡REF!</c:v>
                </c:pt>
                <c:pt idx="1">
                  <c:v>#¡REF!</c:v>
                </c:pt>
                <c:pt idx="2">
                  <c:v>#¡REF!</c:v>
                </c:pt>
                <c:pt idx="3">
                  <c:v>#¡REF!</c:v>
                </c:pt>
                <c:pt idx="4">
                  <c:v>#¡REF!</c:v>
                </c:pt>
                <c:pt idx="5">
                  <c:v>#¡REF!</c:v>
                </c:pt>
                <c:pt idx="6">
                  <c:v>#¡REF!</c:v>
                </c:pt>
                <c:pt idx="7">
                  <c:v>#¡REF!</c:v>
                </c:pt>
                <c:pt idx="8">
                  <c:v>#¡REF!</c:v>
                </c:pt>
                <c:pt idx="9">
                  <c:v>#¡REF!</c:v>
                </c:pt>
                <c:pt idx="10">
                  <c:v>#¡REF!</c:v>
                </c:pt>
              </c:strCache>
            </c:strRef>
          </c:cat>
          <c:val>
            <c:numRef>
              <c:f>[3]velocimetro!$B$2:$B$12</c:f>
              <c:numCache>
                <c:formatCode>General</c:formatCode>
                <c:ptCount val="11"/>
              </c:numCache>
            </c:numRef>
          </c:val>
          <c:extLst>
            <c:ext xmlns:c16="http://schemas.microsoft.com/office/drawing/2014/chart" uri="{C3380CC4-5D6E-409C-BE32-E72D297353CC}">
              <c16:uniqueId val="{00000016-57CE-4057-8F35-40B2FD2C5C42}"/>
            </c:ext>
          </c:extLst>
        </c:ser>
        <c:dLbls>
          <c:showLegendKey val="0"/>
          <c:showVal val="0"/>
          <c:showCatName val="0"/>
          <c:showSerName val="0"/>
          <c:showPercent val="0"/>
          <c:showBubbleSize val="0"/>
          <c:showLeaderLines val="0"/>
        </c:dLbls>
        <c:firstSliceAng val="270"/>
        <c:holeSize val="70"/>
      </c:doughnutChart>
      <c:pieChart>
        <c:varyColors val="1"/>
        <c:ser>
          <c:idx val="1"/>
          <c:order val="1"/>
          <c:spPr>
            <a:noFill/>
          </c:spPr>
          <c:dPt>
            <c:idx val="1"/>
            <c:bubble3D val="0"/>
            <c:spPr>
              <a:solidFill>
                <a:srgbClr val="ED7D31">
                  <a:lumMod val="75000"/>
                </a:srgbClr>
              </a:solidFill>
            </c:spPr>
            <c:extLst>
              <c:ext xmlns:c16="http://schemas.microsoft.com/office/drawing/2014/chart" uri="{C3380CC4-5D6E-409C-BE32-E72D297353CC}">
                <c16:uniqueId val="{00000018-57CE-4057-8F35-40B2FD2C5C42}"/>
              </c:ext>
            </c:extLst>
          </c:dPt>
          <c:val>
            <c:numRef>
              <c:f>'FORMULAS%'!$Q$40:$Q$42</c:f>
              <c:numCache>
                <c:formatCode>0.0%</c:formatCode>
                <c:ptCount val="3"/>
                <c:pt idx="0">
                  <c:v>0.89437791902457264</c:v>
                </c:pt>
                <c:pt idx="1">
                  <c:v>0.03</c:v>
                </c:pt>
                <c:pt idx="2">
                  <c:v>1.0756220809754273</c:v>
                </c:pt>
              </c:numCache>
            </c:numRef>
          </c:val>
          <c:extLst>
            <c:ext xmlns:c16="http://schemas.microsoft.com/office/drawing/2014/chart" uri="{C3380CC4-5D6E-409C-BE32-E72D297353CC}">
              <c16:uniqueId val="{00000019-57CE-4057-8F35-40B2FD2C5C42}"/>
            </c:ext>
          </c:extLst>
        </c:ser>
        <c:dLbls>
          <c:showLegendKey val="0"/>
          <c:showVal val="0"/>
          <c:showCatName val="0"/>
          <c:showSerName val="0"/>
          <c:showPercent val="0"/>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929954245465188"/>
          <c:y val="8.0908500862554869E-2"/>
          <c:w val="0.66941020292555165"/>
          <c:h val="0.8650784839530633"/>
        </c:manualLayout>
      </c:layout>
      <c:doughnutChart>
        <c:varyColors val="1"/>
        <c:ser>
          <c:idx val="0"/>
          <c:order val="0"/>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scene3d>
              <a:camera prst="orthographicFront"/>
              <a:lightRig rig="threePt" dir="t"/>
            </a:scene3d>
            <a:sp3d>
              <a:bevelT w="12700"/>
              <a:bevelB w="12700"/>
            </a:sp3d>
          </c:spPr>
          <c:dPt>
            <c:idx val="0"/>
            <c:bubble3D val="0"/>
            <c:spPr>
              <a:solidFill>
                <a:srgbClr val="FF0000"/>
              </a:solidFill>
              <a:ln>
                <a:noFill/>
              </a:ln>
              <a:scene3d>
                <a:camera prst="orthographicFront"/>
                <a:lightRig rig="threePt" dir="t"/>
              </a:scene3d>
              <a:sp3d>
                <a:bevelT w="12700"/>
                <a:bevelB w="12700"/>
              </a:sp3d>
            </c:spPr>
            <c:extLst>
              <c:ext xmlns:c16="http://schemas.microsoft.com/office/drawing/2014/chart" uri="{C3380CC4-5D6E-409C-BE32-E72D297353CC}">
                <c16:uniqueId val="{00000001-83E9-4DBD-A217-F38AE3D20224}"/>
              </c:ext>
            </c:extLst>
          </c:dPt>
          <c:dPt>
            <c:idx val="1"/>
            <c:bubble3D val="0"/>
            <c:spPr>
              <a:gradFill flip="none" rotWithShape="1">
                <a:gsLst>
                  <a:gs pos="0">
                    <a:srgbClr val="FF0000"/>
                  </a:gs>
                  <a:gs pos="98000">
                    <a:srgbClr val="FF3300"/>
                  </a:gs>
                </a:gsLst>
                <a:path path="circle">
                  <a:fillToRect t="100000" r="100000"/>
                </a:path>
                <a:tileRect l="-100000" b="-100000"/>
              </a:gradFill>
              <a:ln>
                <a:noFill/>
              </a:ln>
              <a:scene3d>
                <a:camera prst="orthographicFront"/>
                <a:lightRig rig="threePt" dir="t"/>
              </a:scene3d>
              <a:sp3d>
                <a:bevelT w="12700"/>
                <a:bevelB w="12700"/>
              </a:sp3d>
            </c:spPr>
            <c:extLst>
              <c:ext xmlns:c16="http://schemas.microsoft.com/office/drawing/2014/chart" uri="{C3380CC4-5D6E-409C-BE32-E72D297353CC}">
                <c16:uniqueId val="{00000003-83E9-4DBD-A217-F38AE3D20224}"/>
              </c:ext>
            </c:extLst>
          </c:dPt>
          <c:dPt>
            <c:idx val="2"/>
            <c:bubble3D val="0"/>
            <c:spPr>
              <a:gradFill flip="none" rotWithShape="1">
                <a:gsLst>
                  <a:gs pos="31000">
                    <a:srgbClr val="FF0000"/>
                  </a:gs>
                  <a:gs pos="80000">
                    <a:schemeClr val="accent4">
                      <a:lumMod val="60000"/>
                      <a:lumOff val="40000"/>
                    </a:schemeClr>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5-83E9-4DBD-A217-F38AE3D20224}"/>
              </c:ext>
            </c:extLst>
          </c:dPt>
          <c:dPt>
            <c:idx val="3"/>
            <c:bubble3D val="0"/>
            <c:spPr>
              <a:gradFill flip="none" rotWithShape="1">
                <a:gsLst>
                  <a:gs pos="0">
                    <a:srgbClr val="FF0000"/>
                  </a:gs>
                  <a:gs pos="81000">
                    <a:srgbClr val="FFC000"/>
                  </a:gs>
                  <a:gs pos="36000">
                    <a:srgbClr val="FFC0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7-83E9-4DBD-A217-F38AE3D20224}"/>
              </c:ext>
            </c:extLst>
          </c:dPt>
          <c:dPt>
            <c:idx val="4"/>
            <c:bubble3D val="0"/>
            <c:spPr>
              <a:gradFill flip="none" rotWithShape="1">
                <a:gsLst>
                  <a:gs pos="0">
                    <a:srgbClr val="FFFF00"/>
                  </a:gs>
                  <a:gs pos="100000">
                    <a:srgbClr val="FFFF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9-83E9-4DBD-A217-F38AE3D20224}"/>
              </c:ext>
            </c:extLst>
          </c:dPt>
          <c:dPt>
            <c:idx val="5"/>
            <c:bubble3D val="0"/>
            <c:spPr>
              <a:gradFill flip="none" rotWithShape="1">
                <a:gsLst>
                  <a:gs pos="0">
                    <a:srgbClr val="FFFF00"/>
                  </a:gs>
                  <a:gs pos="100000">
                    <a:schemeClr val="accent6">
                      <a:lumMod val="30000"/>
                      <a:lumOff val="70000"/>
                    </a:schemeClr>
                  </a:gs>
                </a:gsLst>
                <a:lin ang="27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B-83E9-4DBD-A217-F38AE3D20224}"/>
              </c:ext>
            </c:extLst>
          </c:dPt>
          <c:dPt>
            <c:idx val="6"/>
            <c:bubble3D val="0"/>
            <c:spPr>
              <a:gradFill flip="none" rotWithShape="1">
                <a:gsLst>
                  <a:gs pos="0">
                    <a:schemeClr val="accent6">
                      <a:lumMod val="0"/>
                      <a:lumOff val="100000"/>
                    </a:schemeClr>
                  </a:gs>
                  <a:gs pos="35000">
                    <a:schemeClr val="accent6">
                      <a:lumMod val="0"/>
                      <a:lumOff val="100000"/>
                    </a:schemeClr>
                  </a:gs>
                  <a:gs pos="100000">
                    <a:schemeClr val="accent6">
                      <a:lumMod val="100000"/>
                    </a:schemeClr>
                  </a:gs>
                </a:gsLst>
                <a:path path="circle">
                  <a:fillToRect l="50000" t="-80000" r="50000" b="18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D-83E9-4DBD-A217-F38AE3D20224}"/>
              </c:ext>
            </c:extLst>
          </c:dPt>
          <c:dPt>
            <c:idx val="7"/>
            <c:bubble3D val="0"/>
            <c:spPr>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F-83E9-4DBD-A217-F38AE3D20224}"/>
              </c:ext>
            </c:extLst>
          </c:dPt>
          <c:dPt>
            <c:idx val="8"/>
            <c:bubble3D val="0"/>
            <c:spPr>
              <a:gradFill flip="none" rotWithShape="1">
                <a:gsLst>
                  <a:gs pos="0">
                    <a:schemeClr val="accent6">
                      <a:lumMod val="89000"/>
                    </a:schemeClr>
                  </a:gs>
                  <a:gs pos="23000">
                    <a:schemeClr val="accent6">
                      <a:lumMod val="89000"/>
                    </a:schemeClr>
                  </a:gs>
                  <a:gs pos="69000">
                    <a:schemeClr val="accent6">
                      <a:lumMod val="75000"/>
                    </a:schemeClr>
                  </a:gs>
                  <a:gs pos="97000">
                    <a:schemeClr val="accent6">
                      <a:lumMod val="70000"/>
                    </a:schemeClr>
                  </a:gs>
                </a:gsLst>
                <a:path path="circle">
                  <a:fillToRect l="50000" t="50000" r="50000" b="5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11-83E9-4DBD-A217-F38AE3D20224}"/>
              </c:ext>
            </c:extLst>
          </c:dPt>
          <c:dPt>
            <c:idx val="9"/>
            <c:bubble3D val="0"/>
            <c:spPr>
              <a:solidFill>
                <a:schemeClr val="accent6">
                  <a:lumMod val="75000"/>
                </a:schemeClr>
              </a:solidFill>
              <a:ln>
                <a:noFill/>
              </a:ln>
              <a:scene3d>
                <a:camera prst="orthographicFront"/>
                <a:lightRig rig="threePt" dir="t"/>
              </a:scene3d>
              <a:sp3d>
                <a:bevelT w="12700"/>
                <a:bevelB w="12700"/>
              </a:sp3d>
            </c:spPr>
            <c:extLst>
              <c:ext xmlns:c16="http://schemas.microsoft.com/office/drawing/2014/chart" uri="{C3380CC4-5D6E-409C-BE32-E72D297353CC}">
                <c16:uniqueId val="{00000013-83E9-4DBD-A217-F38AE3D20224}"/>
              </c:ext>
            </c:extLst>
          </c:dPt>
          <c:dPt>
            <c:idx val="10"/>
            <c:bubble3D val="0"/>
            <c:spPr>
              <a:noFill/>
              <a:ln>
                <a:noFill/>
              </a:ln>
              <a:scene3d>
                <a:camera prst="orthographicFront"/>
                <a:lightRig rig="threePt" dir="t"/>
              </a:scene3d>
              <a:sp3d>
                <a:bevelT w="12700"/>
                <a:bevelB w="12700"/>
              </a:sp3d>
            </c:spPr>
            <c:extLst>
              <c:ext xmlns:c16="http://schemas.microsoft.com/office/drawing/2014/chart" uri="{C3380CC4-5D6E-409C-BE32-E72D297353CC}">
                <c16:uniqueId val="{00000015-83E9-4DBD-A217-F38AE3D20224}"/>
              </c:ext>
            </c:extLst>
          </c:dPt>
          <c:dLbls>
            <c:dLbl>
              <c:idx val="0"/>
              <c:layout>
                <c:manualLayout>
                  <c:x val="-4.8359240069084652E-2"/>
                  <c:y val="-9.5011876484560567E-2"/>
                </c:manualLayout>
              </c:layout>
              <c:tx>
                <c:rich>
                  <a:bodyPr/>
                  <a:lstStyle/>
                  <a:p>
                    <a:r>
                      <a:rPr lang="en-US"/>
                      <a:t>10%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83E9-4DBD-A217-F38AE3D20224}"/>
                </c:ext>
              </c:extLst>
            </c:dLbl>
            <c:dLbl>
              <c:idx val="1"/>
              <c:layout>
                <c:manualLayout>
                  <c:x val="-3.223949337938975E-2"/>
                  <c:y val="-0.10768012668250197"/>
                </c:manualLayout>
              </c:layout>
              <c:tx>
                <c:rich>
                  <a:bodyPr/>
                  <a:lstStyle/>
                  <a:p>
                    <a:r>
                      <a:rPr lang="en-US"/>
                      <a:t>20%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83E9-4DBD-A217-F38AE3D20224}"/>
                </c:ext>
              </c:extLst>
            </c:dLbl>
            <c:dLbl>
              <c:idx val="2"/>
              <c:layout>
                <c:manualLayout>
                  <c:x val="-9.2112838226827871E-3"/>
                  <c:y val="-0.10451306413301664"/>
                </c:manualLayout>
              </c:layout>
              <c:tx>
                <c:rich>
                  <a:bodyPr/>
                  <a:lstStyle/>
                  <a:p>
                    <a:r>
                      <a:rPr lang="en-US"/>
                      <a:t>30%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83E9-4DBD-A217-F38AE3D20224}"/>
                </c:ext>
              </c:extLst>
            </c:dLbl>
            <c:dLbl>
              <c:idx val="3"/>
              <c:layout>
                <c:manualLayout>
                  <c:x val="1.8422567645365574E-2"/>
                  <c:y val="-9.5011876484560567E-2"/>
                </c:manualLayout>
              </c:layout>
              <c:tx>
                <c:rich>
                  <a:bodyPr/>
                  <a:lstStyle/>
                  <a:p>
                    <a:r>
                      <a:rPr lang="en-US"/>
                      <a:t>40%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83E9-4DBD-A217-F38AE3D20224}"/>
                </c:ext>
              </c:extLst>
            </c:dLbl>
            <c:dLbl>
              <c:idx val="4"/>
              <c:layout>
                <c:manualLayout>
                  <c:x val="4.8099012715201075E-2"/>
                  <c:y val="-0.10688162397421841"/>
                </c:manualLayout>
              </c:layout>
              <c:tx>
                <c:rich>
                  <a:bodyPr/>
                  <a:lstStyle/>
                  <a:p>
                    <a:r>
                      <a:rPr lang="en-US"/>
                      <a:t>50%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83E9-4DBD-A217-F38AE3D20224}"/>
                </c:ext>
              </c:extLst>
            </c:dLbl>
            <c:dLbl>
              <c:idx val="5"/>
              <c:layout>
                <c:manualLayout>
                  <c:x val="7.5993091537132906E-2"/>
                  <c:y val="-6.320541760722348E-2"/>
                </c:manualLayout>
              </c:layout>
              <c:tx>
                <c:rich>
                  <a:bodyPr/>
                  <a:lstStyle/>
                  <a:p>
                    <a:r>
                      <a:rPr lang="en-US"/>
                      <a:t>60%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83E9-4DBD-A217-F38AE3D20224}"/>
                </c:ext>
              </c:extLst>
            </c:dLbl>
            <c:dLbl>
              <c:idx val="6"/>
              <c:layout>
                <c:manualLayout>
                  <c:x val="9.6718480138169263E-2"/>
                  <c:y val="-3.0097817908201655E-2"/>
                </c:manualLayout>
              </c:layout>
              <c:tx>
                <c:rich>
                  <a:bodyPr/>
                  <a:lstStyle/>
                  <a:p>
                    <a:r>
                      <a:rPr lang="en-US"/>
                      <a:t>70%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83E9-4DBD-A217-F38AE3D20224}"/>
                </c:ext>
              </c:extLst>
            </c:dLbl>
            <c:dLbl>
              <c:idx val="7"/>
              <c:layout>
                <c:manualLayout>
                  <c:x val="9.6718480138169263E-2"/>
                  <c:y val="-1.2039127163280689E-2"/>
                </c:manualLayout>
              </c:layout>
              <c:tx>
                <c:rich>
                  <a:bodyPr/>
                  <a:lstStyle/>
                  <a:p>
                    <a:r>
                      <a:rPr lang="en-US"/>
                      <a:t>80%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83E9-4DBD-A217-F38AE3D20224}"/>
                </c:ext>
              </c:extLst>
            </c:dLbl>
            <c:dLbl>
              <c:idx val="8"/>
              <c:layout>
                <c:manualLayout>
                  <c:x val="8.9810017271157172E-2"/>
                  <c:y val="2.4078254326561323E-2"/>
                </c:manualLayout>
              </c:layout>
              <c:tx>
                <c:rich>
                  <a:bodyPr/>
                  <a:lstStyle/>
                  <a:p>
                    <a:r>
                      <a:rPr lang="en-US"/>
                      <a:t>90%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83E9-4DBD-A217-F38AE3D20224}"/>
                </c:ext>
              </c:extLst>
            </c:dLbl>
            <c:dLbl>
              <c:idx val="9"/>
              <c:layout>
                <c:manualLayout>
                  <c:x val="8.0768545875443812E-2"/>
                  <c:y val="4.2161775062898768E-2"/>
                </c:manualLayout>
              </c:layout>
              <c:tx>
                <c:rich>
                  <a:bodyPr/>
                  <a:lstStyle/>
                  <a:p>
                    <a:r>
                      <a:rPr lang="en-US"/>
                      <a:t>100%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83E9-4DBD-A217-F38AE3D20224}"/>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83E9-4DBD-A217-F38AE3D20224}"/>
                </c:ext>
              </c:extLst>
            </c:dLbl>
            <c:spPr>
              <a:noFill/>
              <a:ln>
                <a:noFill/>
              </a:ln>
              <a:effectLst/>
              <a:scene3d>
                <a:camera prst="orthographicFront"/>
                <a:lightRig rig="threePt" dir="t"/>
              </a:scene3d>
              <a:sp3d>
                <a:bevelT w="6350"/>
              </a:sp3d>
            </c:spPr>
            <c:txPr>
              <a:bodyPr wrap="square" lIns="38100" tIns="19050" rIns="38100" bIns="19050" anchor="ctr">
                <a:spAutoFit/>
              </a:bodyPr>
              <a:lstStyle/>
              <a:p>
                <a:pPr>
                  <a:defRPr sz="1800" b="1">
                    <a:solidFill>
                      <a:srgbClr val="FFFF00"/>
                    </a:solidFill>
                  </a:defRPr>
                </a:pPr>
                <a:endParaRPr lang="es-CO"/>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[2]velocimetro!$A$24:$A$34</c:f>
              <c:strCache>
                <c:ptCount val="11"/>
                <c:pt idx="0">
                  <c:v>#¡REF!</c:v>
                </c:pt>
                <c:pt idx="1">
                  <c:v>#¡REF!</c:v>
                </c:pt>
                <c:pt idx="2">
                  <c:v>#¡REF!</c:v>
                </c:pt>
                <c:pt idx="3">
                  <c:v>#¡REF!</c:v>
                </c:pt>
                <c:pt idx="4">
                  <c:v>#¡REF!</c:v>
                </c:pt>
                <c:pt idx="5">
                  <c:v>#¡REF!</c:v>
                </c:pt>
                <c:pt idx="6">
                  <c:v>#¡REF!</c:v>
                </c:pt>
                <c:pt idx="7">
                  <c:v>#¡REF!</c:v>
                </c:pt>
                <c:pt idx="8">
                  <c:v>#¡REF!</c:v>
                </c:pt>
                <c:pt idx="9">
                  <c:v>#¡REF!</c:v>
                </c:pt>
                <c:pt idx="10">
                  <c:v>#¡REF!</c:v>
                </c:pt>
              </c:strCache>
            </c:strRef>
          </c:cat>
          <c:val>
            <c:numRef>
              <c:f>[3]velocimetro!$B$2:$B$12</c:f>
              <c:numCache>
                <c:formatCode>General</c:formatCode>
                <c:ptCount val="11"/>
              </c:numCache>
            </c:numRef>
          </c:val>
          <c:extLst>
            <c:ext xmlns:c16="http://schemas.microsoft.com/office/drawing/2014/chart" uri="{C3380CC4-5D6E-409C-BE32-E72D297353CC}">
              <c16:uniqueId val="{00000016-83E9-4DBD-A217-F38AE3D20224}"/>
            </c:ext>
          </c:extLst>
        </c:ser>
        <c:dLbls>
          <c:showLegendKey val="0"/>
          <c:showVal val="0"/>
          <c:showCatName val="0"/>
          <c:showSerName val="0"/>
          <c:showPercent val="0"/>
          <c:showBubbleSize val="0"/>
          <c:showLeaderLines val="0"/>
        </c:dLbls>
        <c:firstSliceAng val="270"/>
        <c:holeSize val="70"/>
      </c:doughnutChart>
      <c:pieChart>
        <c:varyColors val="1"/>
        <c:ser>
          <c:idx val="1"/>
          <c:order val="1"/>
          <c:spPr>
            <a:noFill/>
          </c:spPr>
          <c:dPt>
            <c:idx val="1"/>
            <c:bubble3D val="0"/>
            <c:spPr>
              <a:solidFill>
                <a:srgbClr val="ED7D31">
                  <a:lumMod val="75000"/>
                </a:srgbClr>
              </a:solidFill>
            </c:spPr>
            <c:extLst>
              <c:ext xmlns:c16="http://schemas.microsoft.com/office/drawing/2014/chart" uri="{C3380CC4-5D6E-409C-BE32-E72D297353CC}">
                <c16:uniqueId val="{00000019-83E9-4DBD-A217-F38AE3D20224}"/>
              </c:ext>
            </c:extLst>
          </c:dPt>
          <c:val>
            <c:numRef>
              <c:f>'FORMULAS%'!$Q$40:$Q$42</c:f>
              <c:numCache>
                <c:formatCode>0.0%</c:formatCode>
                <c:ptCount val="3"/>
                <c:pt idx="0">
                  <c:v>0.89437791902457264</c:v>
                </c:pt>
                <c:pt idx="1">
                  <c:v>0.03</c:v>
                </c:pt>
                <c:pt idx="2">
                  <c:v>1.0756220809754273</c:v>
                </c:pt>
              </c:numCache>
            </c:numRef>
          </c:val>
          <c:extLst>
            <c:ext xmlns:c16="http://schemas.microsoft.com/office/drawing/2014/chart" uri="{C3380CC4-5D6E-409C-BE32-E72D297353CC}">
              <c16:uniqueId val="{00000017-83E9-4DBD-A217-F38AE3D20224}"/>
            </c:ext>
          </c:extLst>
        </c:ser>
        <c:dLbls>
          <c:showLegendKey val="0"/>
          <c:showVal val="0"/>
          <c:showCatName val="0"/>
          <c:showSerName val="0"/>
          <c:showPercent val="0"/>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7333923492581411E-2"/>
          <c:y val="6.5365374743082794E-2"/>
          <c:w val="0.94103865994131797"/>
          <c:h val="0.81051182267629862"/>
        </c:manualLayout>
      </c:layout>
      <c:barChart>
        <c:barDir val="bar"/>
        <c:grouping val="clustered"/>
        <c:varyColors val="0"/>
        <c:ser>
          <c:idx val="0"/>
          <c:order val="0"/>
          <c:tx>
            <c:strRef>
              <c:f>'AGOSTO 2023'!$K$64</c:f>
              <c:strCache>
                <c:ptCount val="1"/>
                <c:pt idx="0">
                  <c:v>PROGR</c:v>
                </c:pt>
              </c:strCache>
            </c:strRef>
          </c:tx>
          <c:spPr>
            <a:solidFill>
              <a:schemeClr val="accent1">
                <a:alpha val="85000"/>
              </a:schemeClr>
            </a:solidFill>
            <a:ln w="9525" cap="flat" cmpd="sng" algn="ctr">
              <a:solidFill>
                <a:schemeClr val="accent1">
                  <a:lumMod val="7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'AGOSTO 2023'!$J$65:$J$76</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'AGOSTO 2023'!$K$65:$K$76</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00-2310-4BF8-B11C-7F8BF0997B8E}"/>
            </c:ext>
          </c:extLst>
        </c:ser>
        <c:ser>
          <c:idx val="1"/>
          <c:order val="1"/>
          <c:tx>
            <c:strRef>
              <c:f>'AGOSTO 2023'!$L$64</c:f>
              <c:strCache>
                <c:ptCount val="1"/>
                <c:pt idx="0">
                  <c:v>LOGRO</c:v>
                </c:pt>
              </c:strCache>
            </c:strRef>
          </c:tx>
          <c:spPr>
            <a:solidFill>
              <a:schemeClr val="accent2">
                <a:alpha val="85000"/>
              </a:schemeClr>
            </a:solidFill>
            <a:ln w="9525" cap="flat" cmpd="sng" algn="ctr">
              <a:solidFill>
                <a:schemeClr val="accent2">
                  <a:lumMod val="7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'AGOSTO 2023'!$J$65:$J$76</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'AGOSTO 2023'!$L$65:$L$77</c:f>
              <c:numCache>
                <c:formatCode>0.00</c:formatCode>
                <c:ptCount val="13"/>
                <c:pt idx="0">
                  <c:v>1</c:v>
                </c:pt>
                <c:pt idx="1">
                  <c:v>1</c:v>
                </c:pt>
                <c:pt idx="2">
                  <c:v>1</c:v>
                </c:pt>
                <c:pt idx="3">
                  <c:v>1</c:v>
                </c:pt>
                <c:pt idx="4">
                  <c:v>1</c:v>
                </c:pt>
                <c:pt idx="5">
                  <c:v>1</c:v>
                </c:pt>
                <c:pt idx="6">
                  <c:v>0</c:v>
                </c:pt>
                <c:pt idx="7">
                  <c:v>0</c:v>
                </c:pt>
                <c:pt idx="8">
                  <c:v>0</c:v>
                </c:pt>
                <c:pt idx="9">
                  <c:v>0</c:v>
                </c:pt>
                <c:pt idx="10">
                  <c:v>0</c:v>
                </c:pt>
                <c:pt idx="11">
                  <c:v>0</c:v>
                </c:pt>
              </c:numCache>
            </c:numRef>
          </c:val>
          <c:extLst>
            <c:ext xmlns:c16="http://schemas.microsoft.com/office/drawing/2014/chart" uri="{C3380CC4-5D6E-409C-BE32-E72D297353CC}">
              <c16:uniqueId val="{00000004-2310-4BF8-B11C-7F8BF0997B8E}"/>
            </c:ext>
          </c:extLst>
        </c:ser>
        <c:dLbls>
          <c:showLegendKey val="0"/>
          <c:showVal val="1"/>
          <c:showCatName val="0"/>
          <c:showSerName val="0"/>
          <c:showPercent val="0"/>
          <c:showBubbleSize val="0"/>
        </c:dLbls>
        <c:gapWidth val="65"/>
        <c:axId val="221474176"/>
        <c:axId val="221484160"/>
      </c:barChart>
      <c:catAx>
        <c:axId val="221474176"/>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600" b="0" i="0" u="none" strike="noStrike" kern="1200" cap="all" baseline="0">
                <a:solidFill>
                  <a:schemeClr val="dk1">
                    <a:lumMod val="75000"/>
                    <a:lumOff val="25000"/>
                  </a:schemeClr>
                </a:solidFill>
                <a:latin typeface="+mn-lt"/>
                <a:ea typeface="+mn-ea"/>
                <a:cs typeface="+mn-cs"/>
              </a:defRPr>
            </a:pPr>
            <a:endParaRPr lang="es-CO"/>
          </a:p>
        </c:txPr>
        <c:crossAx val="221484160"/>
        <c:crosses val="autoZero"/>
        <c:auto val="1"/>
        <c:lblAlgn val="ctr"/>
        <c:lblOffset val="100"/>
        <c:noMultiLvlLbl val="0"/>
      </c:catAx>
      <c:valAx>
        <c:axId val="221484160"/>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bg1">
                    <a:lumMod val="75000"/>
                  </a:schemeClr>
                </a:solidFill>
                <a:latin typeface="+mn-lt"/>
                <a:ea typeface="+mn-ea"/>
                <a:cs typeface="+mn-cs"/>
              </a:defRPr>
            </a:pPr>
            <a:endParaRPr lang="es-CO"/>
          </a:p>
        </c:txPr>
        <c:crossAx val="221474176"/>
        <c:crosses val="autoZero"/>
        <c:crossBetween val="between"/>
      </c:valAx>
      <c:spPr>
        <a:noFill/>
        <a:ln>
          <a:noFill/>
        </a:ln>
        <a:effectLst/>
      </c:spPr>
    </c:plotArea>
    <c:plotVisOnly val="1"/>
    <c:dispBlanksAs val="zero"/>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000000000000899" l="0.70000000000000062" r="0.70000000000000062" t="0.75000000000000899" header="0.30000000000000032" footer="0.30000000000000032"/>
    <c:pageSetup orientation="portrait"/>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200" b="1" i="0" u="none" strike="noStrike" kern="1200" baseline="0">
                <a:solidFill>
                  <a:schemeClr val="dk1">
                    <a:lumMod val="65000"/>
                    <a:lumOff val="35000"/>
                  </a:schemeClr>
                </a:solidFill>
                <a:effectLst/>
                <a:latin typeface="+mn-lt"/>
                <a:ea typeface="+mn-ea"/>
                <a:cs typeface="+mn-cs"/>
              </a:defRPr>
            </a:pPr>
            <a:r>
              <a:rPr lang="es-CO" sz="3200" b="1"/>
              <a:t>CLASE DE INDICADORES</a:t>
            </a:r>
          </a:p>
        </c:rich>
      </c:tx>
      <c:overlay val="0"/>
      <c:spPr>
        <a:noFill/>
        <a:ln>
          <a:noFill/>
        </a:ln>
        <a:effectLst/>
      </c:spPr>
      <c:txPr>
        <a:bodyPr rot="0" spcFirstLastPara="1" vertOverflow="ellipsis" vert="horz" wrap="square" anchor="ctr" anchorCtr="1"/>
        <a:lstStyle/>
        <a:p>
          <a:pPr>
            <a:defRPr sz="3200" b="1"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'FORMULAS%'!$T$1:$V$1</c:f>
              <c:strCache>
                <c:ptCount val="3"/>
                <c:pt idx="0">
                  <c:v>TÁCTICO</c:v>
                </c:pt>
                <c:pt idx="1">
                  <c:v>OPERATIVO</c:v>
                </c:pt>
                <c:pt idx="2">
                  <c:v>ESTRATÉGICO</c:v>
                </c:pt>
              </c:strCache>
            </c:strRef>
          </c:cat>
          <c:val>
            <c:numRef>
              <c:f>'FORMULAS%'!$T$2:$V$2</c:f>
              <c:numCache>
                <c:formatCode>General</c:formatCode>
                <c:ptCount val="3"/>
                <c:pt idx="0">
                  <c:v>25</c:v>
                </c:pt>
                <c:pt idx="1">
                  <c:v>24</c:v>
                </c:pt>
                <c:pt idx="2">
                  <c:v>15</c:v>
                </c:pt>
              </c:numCache>
            </c:numRef>
          </c:val>
          <c:extLst>
            <c:ext xmlns:c16="http://schemas.microsoft.com/office/drawing/2014/chart" uri="{C3380CC4-5D6E-409C-BE32-E72D297353CC}">
              <c16:uniqueId val="{00000000-1A8C-4FDC-834E-F19ABFF7472D}"/>
            </c:ext>
          </c:extLst>
        </c:ser>
        <c:dLbls>
          <c:dLblPos val="inEnd"/>
          <c:showLegendKey val="0"/>
          <c:showVal val="1"/>
          <c:showCatName val="0"/>
          <c:showSerName val="0"/>
          <c:showPercent val="0"/>
          <c:showBubbleSize val="0"/>
        </c:dLbls>
        <c:gapWidth val="41"/>
        <c:axId val="2039579375"/>
        <c:axId val="1608939343"/>
      </c:barChart>
      <c:catAx>
        <c:axId val="2039579375"/>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000" b="1" i="0" u="none" strike="noStrike" kern="1200" baseline="0">
                <a:solidFill>
                  <a:schemeClr val="tx1"/>
                </a:solidFill>
                <a:effectLst/>
                <a:latin typeface="+mn-lt"/>
                <a:ea typeface="+mn-ea"/>
                <a:cs typeface="+mn-cs"/>
              </a:defRPr>
            </a:pPr>
            <a:endParaRPr lang="es-CO"/>
          </a:p>
        </c:txPr>
        <c:crossAx val="1608939343"/>
        <c:crosses val="autoZero"/>
        <c:auto val="1"/>
        <c:lblAlgn val="ctr"/>
        <c:lblOffset val="100"/>
        <c:noMultiLvlLbl val="0"/>
      </c:catAx>
      <c:valAx>
        <c:axId val="1608939343"/>
        <c:scaling>
          <c:orientation val="minMax"/>
        </c:scaling>
        <c:delete val="1"/>
        <c:axPos val="l"/>
        <c:numFmt formatCode="General" sourceLinked="1"/>
        <c:majorTickMark val="none"/>
        <c:minorTickMark val="none"/>
        <c:tickLblPos val="nextTo"/>
        <c:crossAx val="203957937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200" b="1" i="0" u="none" strike="noStrike" kern="1200" baseline="0">
                <a:solidFill>
                  <a:sysClr val="windowText" lastClr="000000"/>
                </a:solidFill>
                <a:effectLst/>
                <a:latin typeface="+mn-lt"/>
                <a:ea typeface="+mn-ea"/>
                <a:cs typeface="+mn-cs"/>
              </a:defRPr>
            </a:pPr>
            <a:r>
              <a:rPr lang="es-CO" sz="3200" b="1">
                <a:solidFill>
                  <a:sysClr val="windowText" lastClr="000000"/>
                </a:solidFill>
              </a:rPr>
              <a:t>TIPO DE INDICADORES</a:t>
            </a:r>
          </a:p>
        </c:rich>
      </c:tx>
      <c:overlay val="0"/>
      <c:spPr>
        <a:noFill/>
        <a:ln>
          <a:noFill/>
        </a:ln>
        <a:effectLst/>
      </c:spPr>
      <c:txPr>
        <a:bodyPr rot="0" spcFirstLastPara="1" vertOverflow="ellipsis" vert="horz" wrap="square" anchor="ctr" anchorCtr="1"/>
        <a:lstStyle/>
        <a:p>
          <a:pPr>
            <a:defRPr sz="3200" b="1" i="0" u="none" strike="noStrike" kern="1200" baseline="0">
              <a:solidFill>
                <a:sysClr val="windowText" lastClr="000000"/>
              </a:solidFill>
              <a:effectLst/>
              <a:latin typeface="+mn-lt"/>
              <a:ea typeface="+mn-ea"/>
              <a:cs typeface="+mn-cs"/>
            </a:defRPr>
          </a:pPr>
          <a:endParaRPr lang="es-CO"/>
        </a:p>
      </c:txPr>
    </c:title>
    <c:autoTitleDeleted val="0"/>
    <c:plotArea>
      <c:layout/>
      <c:barChart>
        <c:barDir val="bar"/>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dLbl>
              <c:idx val="0"/>
              <c:layout>
                <c:manualLayout>
                  <c:x val="6.3785140226678798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C62-4573-B713-993ACAD0E905}"/>
                </c:ext>
              </c:extLst>
            </c:dLbl>
            <c:dLbl>
              <c:idx val="1"/>
              <c:layout>
                <c:manualLayout>
                  <c:x val="-1.009548982004988E-3"/>
                  <c:y val="-6.09701356753552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C62-4573-B713-993ACAD0E905}"/>
                </c:ext>
              </c:extLst>
            </c:dLbl>
            <c:dLbl>
              <c:idx val="2"/>
              <c:layout>
                <c:manualLayout>
                  <c:x val="1.0586172539292064E-2"/>
                  <c:y val="-9.145520351303200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C62-4573-B713-993ACAD0E905}"/>
                </c:ext>
              </c:extLst>
            </c:dLbl>
            <c:spPr>
              <a:noFill/>
              <a:ln>
                <a:noFill/>
              </a:ln>
              <a:effectLst/>
            </c:spPr>
            <c:txPr>
              <a:bodyPr rot="0" spcFirstLastPara="1" vertOverflow="ellipsis" vert="horz" wrap="square" lIns="38100" tIns="19050" rIns="38100" bIns="19050" anchor="ctr" anchorCtr="1">
                <a:spAutoFit/>
              </a:bodyPr>
              <a:lstStyle/>
              <a:p>
                <a:pPr>
                  <a:defRPr sz="3200" b="1" i="0" u="none" strike="noStrike" kern="1200" baseline="0">
                    <a:solidFill>
                      <a:sysClr val="windowText" lastClr="000000"/>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'FORMULAS%'!$T$4:$V$4</c:f>
              <c:strCache>
                <c:ptCount val="3"/>
                <c:pt idx="0">
                  <c:v>EFICIENCIA</c:v>
                </c:pt>
                <c:pt idx="1">
                  <c:v>EFICACIA</c:v>
                </c:pt>
                <c:pt idx="2">
                  <c:v>EFECTIVIDAD</c:v>
                </c:pt>
              </c:strCache>
            </c:strRef>
          </c:cat>
          <c:val>
            <c:numRef>
              <c:f>'FORMULAS%'!$T$5:$V$5</c:f>
              <c:numCache>
                <c:formatCode>General</c:formatCode>
                <c:ptCount val="3"/>
                <c:pt idx="0">
                  <c:v>8</c:v>
                </c:pt>
                <c:pt idx="1">
                  <c:v>47</c:v>
                </c:pt>
                <c:pt idx="2">
                  <c:v>9</c:v>
                </c:pt>
              </c:numCache>
            </c:numRef>
          </c:val>
          <c:extLst>
            <c:ext xmlns:c16="http://schemas.microsoft.com/office/drawing/2014/chart" uri="{C3380CC4-5D6E-409C-BE32-E72D297353CC}">
              <c16:uniqueId val="{00000000-6BDC-433A-97A2-2D495C89F3AE}"/>
            </c:ext>
          </c:extLst>
        </c:ser>
        <c:dLbls>
          <c:dLblPos val="inEnd"/>
          <c:showLegendKey val="0"/>
          <c:showVal val="1"/>
          <c:showCatName val="0"/>
          <c:showSerName val="0"/>
          <c:showPercent val="0"/>
          <c:showBubbleSize val="0"/>
        </c:dLbls>
        <c:gapWidth val="41"/>
        <c:axId val="2039579375"/>
        <c:axId val="1608939343"/>
      </c:barChart>
      <c:catAx>
        <c:axId val="2039579375"/>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000" b="1" i="0" u="none" strike="noStrike" kern="1200" baseline="0">
                <a:solidFill>
                  <a:schemeClr val="tx1"/>
                </a:solidFill>
                <a:effectLst/>
                <a:latin typeface="+mn-lt"/>
                <a:ea typeface="+mn-ea"/>
                <a:cs typeface="+mn-cs"/>
              </a:defRPr>
            </a:pPr>
            <a:endParaRPr lang="es-CO"/>
          </a:p>
        </c:txPr>
        <c:crossAx val="1608939343"/>
        <c:crosses val="autoZero"/>
        <c:auto val="1"/>
        <c:lblAlgn val="ctr"/>
        <c:lblOffset val="100"/>
        <c:noMultiLvlLbl val="0"/>
      </c:catAx>
      <c:valAx>
        <c:axId val="1608939343"/>
        <c:scaling>
          <c:orientation val="minMax"/>
        </c:scaling>
        <c:delete val="1"/>
        <c:axPos val="b"/>
        <c:numFmt formatCode="General" sourceLinked="1"/>
        <c:majorTickMark val="none"/>
        <c:minorTickMark val="none"/>
        <c:tickLblPos val="nextTo"/>
        <c:crossAx val="203957937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929954245465188"/>
          <c:y val="8.0908500862554869E-2"/>
          <c:w val="0.66941020292555165"/>
          <c:h val="0.8650784839530633"/>
        </c:manualLayout>
      </c:layout>
      <c:doughnutChart>
        <c:varyColors val="1"/>
        <c:ser>
          <c:idx val="0"/>
          <c:order val="0"/>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scene3d>
              <a:camera prst="orthographicFront"/>
              <a:lightRig rig="threePt" dir="t"/>
            </a:scene3d>
            <a:sp3d>
              <a:bevelT w="12700"/>
              <a:bevelB w="12700"/>
            </a:sp3d>
          </c:spPr>
          <c:dPt>
            <c:idx val="0"/>
            <c:bubble3D val="0"/>
            <c:spPr>
              <a:solidFill>
                <a:srgbClr val="FF0000"/>
              </a:solidFill>
              <a:ln>
                <a:noFill/>
              </a:ln>
              <a:scene3d>
                <a:camera prst="orthographicFront"/>
                <a:lightRig rig="threePt" dir="t"/>
              </a:scene3d>
              <a:sp3d>
                <a:bevelT w="12700"/>
                <a:bevelB w="12700"/>
              </a:sp3d>
            </c:spPr>
            <c:extLst>
              <c:ext xmlns:c16="http://schemas.microsoft.com/office/drawing/2014/chart" uri="{C3380CC4-5D6E-409C-BE32-E72D297353CC}">
                <c16:uniqueId val="{00000001-4EB7-4946-AACC-133A7A0AB1A3}"/>
              </c:ext>
            </c:extLst>
          </c:dPt>
          <c:dPt>
            <c:idx val="1"/>
            <c:bubble3D val="0"/>
            <c:spPr>
              <a:gradFill flip="none" rotWithShape="1">
                <a:gsLst>
                  <a:gs pos="0">
                    <a:srgbClr val="FF0000"/>
                  </a:gs>
                  <a:gs pos="98000">
                    <a:srgbClr val="FF3300"/>
                  </a:gs>
                </a:gsLst>
                <a:path path="circle">
                  <a:fillToRect t="100000" r="100000"/>
                </a:path>
                <a:tileRect l="-100000" b="-100000"/>
              </a:gradFill>
              <a:ln>
                <a:noFill/>
              </a:ln>
              <a:scene3d>
                <a:camera prst="orthographicFront"/>
                <a:lightRig rig="threePt" dir="t"/>
              </a:scene3d>
              <a:sp3d>
                <a:bevelT w="12700"/>
                <a:bevelB w="12700"/>
              </a:sp3d>
            </c:spPr>
            <c:extLst>
              <c:ext xmlns:c16="http://schemas.microsoft.com/office/drawing/2014/chart" uri="{C3380CC4-5D6E-409C-BE32-E72D297353CC}">
                <c16:uniqueId val="{00000003-4EB7-4946-AACC-133A7A0AB1A3}"/>
              </c:ext>
            </c:extLst>
          </c:dPt>
          <c:dPt>
            <c:idx val="2"/>
            <c:bubble3D val="0"/>
            <c:spPr>
              <a:gradFill flip="none" rotWithShape="1">
                <a:gsLst>
                  <a:gs pos="31000">
                    <a:srgbClr val="FF0000"/>
                  </a:gs>
                  <a:gs pos="80000">
                    <a:schemeClr val="accent4">
                      <a:lumMod val="60000"/>
                      <a:lumOff val="40000"/>
                    </a:schemeClr>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5-4EB7-4946-AACC-133A7A0AB1A3}"/>
              </c:ext>
            </c:extLst>
          </c:dPt>
          <c:dPt>
            <c:idx val="3"/>
            <c:bubble3D val="0"/>
            <c:spPr>
              <a:gradFill flip="none" rotWithShape="1">
                <a:gsLst>
                  <a:gs pos="0">
                    <a:srgbClr val="FF0000"/>
                  </a:gs>
                  <a:gs pos="81000">
                    <a:srgbClr val="FFC000"/>
                  </a:gs>
                  <a:gs pos="36000">
                    <a:srgbClr val="FFC0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7-4EB7-4946-AACC-133A7A0AB1A3}"/>
              </c:ext>
            </c:extLst>
          </c:dPt>
          <c:dPt>
            <c:idx val="4"/>
            <c:bubble3D val="0"/>
            <c:spPr>
              <a:gradFill flip="none" rotWithShape="1">
                <a:gsLst>
                  <a:gs pos="0">
                    <a:srgbClr val="FFFF00"/>
                  </a:gs>
                  <a:gs pos="100000">
                    <a:srgbClr val="FFFF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9-4EB7-4946-AACC-133A7A0AB1A3}"/>
              </c:ext>
            </c:extLst>
          </c:dPt>
          <c:dPt>
            <c:idx val="5"/>
            <c:bubble3D val="0"/>
            <c:spPr>
              <a:gradFill flip="none" rotWithShape="1">
                <a:gsLst>
                  <a:gs pos="0">
                    <a:srgbClr val="FFFF00"/>
                  </a:gs>
                  <a:gs pos="100000">
                    <a:schemeClr val="accent6">
                      <a:lumMod val="30000"/>
                      <a:lumOff val="70000"/>
                    </a:schemeClr>
                  </a:gs>
                </a:gsLst>
                <a:lin ang="27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B-4EB7-4946-AACC-133A7A0AB1A3}"/>
              </c:ext>
            </c:extLst>
          </c:dPt>
          <c:dPt>
            <c:idx val="6"/>
            <c:bubble3D val="0"/>
            <c:spPr>
              <a:gradFill flip="none" rotWithShape="1">
                <a:gsLst>
                  <a:gs pos="0">
                    <a:schemeClr val="accent6">
                      <a:lumMod val="0"/>
                      <a:lumOff val="100000"/>
                    </a:schemeClr>
                  </a:gs>
                  <a:gs pos="35000">
                    <a:schemeClr val="accent6">
                      <a:lumMod val="0"/>
                      <a:lumOff val="100000"/>
                    </a:schemeClr>
                  </a:gs>
                  <a:gs pos="100000">
                    <a:schemeClr val="accent6">
                      <a:lumMod val="100000"/>
                    </a:schemeClr>
                  </a:gs>
                </a:gsLst>
                <a:path path="circle">
                  <a:fillToRect l="50000" t="-80000" r="50000" b="18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D-4EB7-4946-AACC-133A7A0AB1A3}"/>
              </c:ext>
            </c:extLst>
          </c:dPt>
          <c:dPt>
            <c:idx val="7"/>
            <c:bubble3D val="0"/>
            <c:spPr>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F-4EB7-4946-AACC-133A7A0AB1A3}"/>
              </c:ext>
            </c:extLst>
          </c:dPt>
          <c:dPt>
            <c:idx val="8"/>
            <c:bubble3D val="0"/>
            <c:spPr>
              <a:gradFill flip="none" rotWithShape="1">
                <a:gsLst>
                  <a:gs pos="0">
                    <a:schemeClr val="accent6">
                      <a:lumMod val="89000"/>
                    </a:schemeClr>
                  </a:gs>
                  <a:gs pos="23000">
                    <a:schemeClr val="accent6">
                      <a:lumMod val="89000"/>
                    </a:schemeClr>
                  </a:gs>
                  <a:gs pos="69000">
                    <a:schemeClr val="accent6">
                      <a:lumMod val="75000"/>
                    </a:schemeClr>
                  </a:gs>
                  <a:gs pos="97000">
                    <a:schemeClr val="accent6">
                      <a:lumMod val="70000"/>
                    </a:schemeClr>
                  </a:gs>
                </a:gsLst>
                <a:path path="circle">
                  <a:fillToRect l="50000" t="50000" r="50000" b="5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11-4EB7-4946-AACC-133A7A0AB1A3}"/>
              </c:ext>
            </c:extLst>
          </c:dPt>
          <c:dPt>
            <c:idx val="9"/>
            <c:bubble3D val="0"/>
            <c:spPr>
              <a:solidFill>
                <a:schemeClr val="accent6">
                  <a:lumMod val="75000"/>
                </a:schemeClr>
              </a:solidFill>
              <a:ln>
                <a:noFill/>
              </a:ln>
              <a:scene3d>
                <a:camera prst="orthographicFront"/>
                <a:lightRig rig="threePt" dir="t"/>
              </a:scene3d>
              <a:sp3d>
                <a:bevelT w="12700"/>
                <a:bevelB w="12700"/>
              </a:sp3d>
            </c:spPr>
            <c:extLst>
              <c:ext xmlns:c16="http://schemas.microsoft.com/office/drawing/2014/chart" uri="{C3380CC4-5D6E-409C-BE32-E72D297353CC}">
                <c16:uniqueId val="{00000013-4EB7-4946-AACC-133A7A0AB1A3}"/>
              </c:ext>
            </c:extLst>
          </c:dPt>
          <c:dPt>
            <c:idx val="10"/>
            <c:bubble3D val="0"/>
            <c:spPr>
              <a:noFill/>
              <a:ln>
                <a:noFill/>
              </a:ln>
              <a:scene3d>
                <a:camera prst="orthographicFront"/>
                <a:lightRig rig="threePt" dir="t"/>
              </a:scene3d>
              <a:sp3d>
                <a:bevelT w="12700"/>
                <a:bevelB w="12700"/>
              </a:sp3d>
            </c:spPr>
            <c:extLst>
              <c:ext xmlns:c16="http://schemas.microsoft.com/office/drawing/2014/chart" uri="{C3380CC4-5D6E-409C-BE32-E72D297353CC}">
                <c16:uniqueId val="{00000015-4EB7-4946-AACC-133A7A0AB1A3}"/>
              </c:ext>
            </c:extLst>
          </c:dPt>
          <c:dLbls>
            <c:dLbl>
              <c:idx val="0"/>
              <c:layout>
                <c:manualLayout>
                  <c:x val="-4.8359240069084652E-2"/>
                  <c:y val="-9.5011876484560567E-2"/>
                </c:manualLayout>
              </c:layout>
              <c:tx>
                <c:rich>
                  <a:bodyPr/>
                  <a:lstStyle/>
                  <a:p>
                    <a:r>
                      <a:rPr lang="en-US"/>
                      <a:t>10%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4EB7-4946-AACC-133A7A0AB1A3}"/>
                </c:ext>
              </c:extLst>
            </c:dLbl>
            <c:dLbl>
              <c:idx val="1"/>
              <c:layout>
                <c:manualLayout>
                  <c:x val="-3.223949337938975E-2"/>
                  <c:y val="-0.10768012668250197"/>
                </c:manualLayout>
              </c:layout>
              <c:tx>
                <c:rich>
                  <a:bodyPr/>
                  <a:lstStyle/>
                  <a:p>
                    <a:r>
                      <a:rPr lang="en-US"/>
                      <a:t>20%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4EB7-4946-AACC-133A7A0AB1A3}"/>
                </c:ext>
              </c:extLst>
            </c:dLbl>
            <c:dLbl>
              <c:idx val="2"/>
              <c:layout>
                <c:manualLayout>
                  <c:x val="-9.2112838226827871E-3"/>
                  <c:y val="-0.10451306413301664"/>
                </c:manualLayout>
              </c:layout>
              <c:tx>
                <c:rich>
                  <a:bodyPr/>
                  <a:lstStyle/>
                  <a:p>
                    <a:r>
                      <a:rPr lang="en-US"/>
                      <a:t>30%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4EB7-4946-AACC-133A7A0AB1A3}"/>
                </c:ext>
              </c:extLst>
            </c:dLbl>
            <c:dLbl>
              <c:idx val="3"/>
              <c:layout>
                <c:manualLayout>
                  <c:x val="1.8422567645365574E-2"/>
                  <c:y val="-9.5011876484560567E-2"/>
                </c:manualLayout>
              </c:layout>
              <c:tx>
                <c:rich>
                  <a:bodyPr/>
                  <a:lstStyle/>
                  <a:p>
                    <a:r>
                      <a:rPr lang="en-US"/>
                      <a:t>40%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4EB7-4946-AACC-133A7A0AB1A3}"/>
                </c:ext>
              </c:extLst>
            </c:dLbl>
            <c:dLbl>
              <c:idx val="4"/>
              <c:layout>
                <c:manualLayout>
                  <c:x val="4.8099012715201075E-2"/>
                  <c:y val="-0.10688162397421841"/>
                </c:manualLayout>
              </c:layout>
              <c:tx>
                <c:rich>
                  <a:bodyPr/>
                  <a:lstStyle/>
                  <a:p>
                    <a:r>
                      <a:rPr lang="en-US"/>
                      <a:t>50%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4EB7-4946-AACC-133A7A0AB1A3}"/>
                </c:ext>
              </c:extLst>
            </c:dLbl>
            <c:dLbl>
              <c:idx val="5"/>
              <c:layout>
                <c:manualLayout>
                  <c:x val="7.5993091537132906E-2"/>
                  <c:y val="-6.320541760722348E-2"/>
                </c:manualLayout>
              </c:layout>
              <c:tx>
                <c:rich>
                  <a:bodyPr/>
                  <a:lstStyle/>
                  <a:p>
                    <a:r>
                      <a:rPr lang="en-US"/>
                      <a:t>60%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4EB7-4946-AACC-133A7A0AB1A3}"/>
                </c:ext>
              </c:extLst>
            </c:dLbl>
            <c:dLbl>
              <c:idx val="6"/>
              <c:layout>
                <c:manualLayout>
                  <c:x val="9.6718480138169263E-2"/>
                  <c:y val="-3.0097817908201655E-2"/>
                </c:manualLayout>
              </c:layout>
              <c:tx>
                <c:rich>
                  <a:bodyPr/>
                  <a:lstStyle/>
                  <a:p>
                    <a:r>
                      <a:rPr lang="en-US"/>
                      <a:t>70%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4EB7-4946-AACC-133A7A0AB1A3}"/>
                </c:ext>
              </c:extLst>
            </c:dLbl>
            <c:dLbl>
              <c:idx val="7"/>
              <c:layout>
                <c:manualLayout>
                  <c:x val="9.6718480138169263E-2"/>
                  <c:y val="-1.2039127163280689E-2"/>
                </c:manualLayout>
              </c:layout>
              <c:tx>
                <c:rich>
                  <a:bodyPr/>
                  <a:lstStyle/>
                  <a:p>
                    <a:r>
                      <a:rPr lang="en-US"/>
                      <a:t>80%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4EB7-4946-AACC-133A7A0AB1A3}"/>
                </c:ext>
              </c:extLst>
            </c:dLbl>
            <c:dLbl>
              <c:idx val="8"/>
              <c:layout>
                <c:manualLayout>
                  <c:x val="8.9810017271157172E-2"/>
                  <c:y val="2.4078254326561323E-2"/>
                </c:manualLayout>
              </c:layout>
              <c:tx>
                <c:rich>
                  <a:bodyPr/>
                  <a:lstStyle/>
                  <a:p>
                    <a:r>
                      <a:rPr lang="en-US"/>
                      <a:t>90%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4EB7-4946-AACC-133A7A0AB1A3}"/>
                </c:ext>
              </c:extLst>
            </c:dLbl>
            <c:dLbl>
              <c:idx val="9"/>
              <c:layout>
                <c:manualLayout>
                  <c:x val="8.0768545875443812E-2"/>
                  <c:y val="4.2161775062898768E-2"/>
                </c:manualLayout>
              </c:layout>
              <c:tx>
                <c:rich>
                  <a:bodyPr/>
                  <a:lstStyle/>
                  <a:p>
                    <a:r>
                      <a:rPr lang="en-US"/>
                      <a:t>100%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4EB7-4946-AACC-133A7A0AB1A3}"/>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4EB7-4946-AACC-133A7A0AB1A3}"/>
                </c:ext>
              </c:extLst>
            </c:dLbl>
            <c:spPr>
              <a:noFill/>
              <a:ln>
                <a:noFill/>
              </a:ln>
              <a:effectLst/>
            </c:spPr>
            <c:txPr>
              <a:bodyPr wrap="square" lIns="38100" tIns="19050" rIns="38100" bIns="19050" anchor="ctr">
                <a:spAutoFit/>
              </a:bodyPr>
              <a:lstStyle/>
              <a:p>
                <a:pPr>
                  <a:defRPr sz="1800" b="1"/>
                </a:pPr>
                <a:endParaRPr lang="es-CO"/>
              </a:p>
            </c:txPr>
            <c:showLegendKey val="0"/>
            <c:showVal val="0"/>
            <c:showCatName val="0"/>
            <c:showSerName val="0"/>
            <c:showPercent val="0"/>
            <c:showBubbleSize val="0"/>
            <c:extLst>
              <c:ext xmlns:c15="http://schemas.microsoft.com/office/drawing/2012/chart" uri="{CE6537A1-D6FC-4f65-9D91-7224C49458BB}"/>
            </c:extLst>
          </c:dLbls>
          <c:cat>
            <c:numRef>
              <c:f>[2]velocimetro!$A$24:$A$34</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[3]velocimetro!$B$2:$B$12</c:f>
              <c:numCache>
                <c:formatCode>General</c:formatCode>
                <c:ptCount val="11"/>
                <c:pt idx="0">
                  <c:v>1</c:v>
                </c:pt>
                <c:pt idx="1">
                  <c:v>1</c:v>
                </c:pt>
                <c:pt idx="2">
                  <c:v>1</c:v>
                </c:pt>
                <c:pt idx="3">
                  <c:v>1</c:v>
                </c:pt>
                <c:pt idx="4">
                  <c:v>1</c:v>
                </c:pt>
                <c:pt idx="5">
                  <c:v>1</c:v>
                </c:pt>
                <c:pt idx="6">
                  <c:v>1</c:v>
                </c:pt>
                <c:pt idx="7">
                  <c:v>1</c:v>
                </c:pt>
                <c:pt idx="8">
                  <c:v>1</c:v>
                </c:pt>
                <c:pt idx="9">
                  <c:v>1</c:v>
                </c:pt>
                <c:pt idx="10">
                  <c:v>10</c:v>
                </c:pt>
              </c:numCache>
            </c:numRef>
          </c:val>
          <c:extLst>
            <c:ext xmlns:c16="http://schemas.microsoft.com/office/drawing/2014/chart" uri="{C3380CC4-5D6E-409C-BE32-E72D297353CC}">
              <c16:uniqueId val="{00000016-4EB7-4946-AACC-133A7A0AB1A3}"/>
            </c:ext>
          </c:extLst>
        </c:ser>
        <c:dLbls>
          <c:showLegendKey val="0"/>
          <c:showVal val="0"/>
          <c:showCatName val="0"/>
          <c:showSerName val="0"/>
          <c:showPercent val="0"/>
          <c:showBubbleSize val="0"/>
          <c:showLeaderLines val="1"/>
        </c:dLbls>
        <c:firstSliceAng val="270"/>
        <c:holeSize val="70"/>
      </c:doughnutChart>
      <c:pieChart>
        <c:varyColors val="1"/>
        <c:ser>
          <c:idx val="1"/>
          <c:order val="1"/>
          <c:spPr>
            <a:noFill/>
          </c:spPr>
          <c:dPt>
            <c:idx val="1"/>
            <c:bubble3D val="0"/>
            <c:spPr>
              <a:solidFill>
                <a:srgbClr val="ED7D31">
                  <a:lumMod val="75000"/>
                </a:srgbClr>
              </a:solidFill>
            </c:spPr>
            <c:extLst>
              <c:ext xmlns:c16="http://schemas.microsoft.com/office/drawing/2014/chart" uri="{C3380CC4-5D6E-409C-BE32-E72D297353CC}">
                <c16:uniqueId val="{00000018-4EB7-4946-AACC-133A7A0AB1A3}"/>
              </c:ext>
            </c:extLst>
          </c:dPt>
          <c:val>
            <c:numRef>
              <c:f>'FORMULAS%'!$Q$40:$Q$42</c:f>
              <c:numCache>
                <c:formatCode>0.0%</c:formatCode>
                <c:ptCount val="3"/>
                <c:pt idx="0">
                  <c:v>0.89437791902457264</c:v>
                </c:pt>
                <c:pt idx="1">
                  <c:v>0.03</c:v>
                </c:pt>
                <c:pt idx="2">
                  <c:v>1.0756220809754273</c:v>
                </c:pt>
              </c:numCache>
            </c:numRef>
          </c:val>
          <c:extLst>
            <c:ext xmlns:c16="http://schemas.microsoft.com/office/drawing/2014/chart" uri="{C3380CC4-5D6E-409C-BE32-E72D297353CC}">
              <c16:uniqueId val="{00000019-4EB7-4946-AACC-133A7A0AB1A3}"/>
            </c:ext>
          </c:extLst>
        </c:ser>
        <c:dLbls>
          <c:showLegendKey val="0"/>
          <c:showVal val="0"/>
          <c:showCatName val="0"/>
          <c:showSerName val="0"/>
          <c:showPercent val="0"/>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929954245465188"/>
          <c:y val="8.0908500862554869E-2"/>
          <c:w val="0.66941020292555165"/>
          <c:h val="0.8650784839530633"/>
        </c:manualLayout>
      </c:layout>
      <c:doughnutChart>
        <c:varyColors val="1"/>
        <c:ser>
          <c:idx val="0"/>
          <c:order val="0"/>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scene3d>
              <a:camera prst="orthographicFront"/>
              <a:lightRig rig="threePt" dir="t"/>
            </a:scene3d>
            <a:sp3d>
              <a:bevelT w="12700"/>
              <a:bevelB w="12700"/>
            </a:sp3d>
          </c:spPr>
          <c:dPt>
            <c:idx val="0"/>
            <c:bubble3D val="0"/>
            <c:spPr>
              <a:solidFill>
                <a:srgbClr val="FF0000"/>
              </a:solidFill>
              <a:ln>
                <a:noFill/>
              </a:ln>
              <a:scene3d>
                <a:camera prst="orthographicFront"/>
                <a:lightRig rig="threePt" dir="t"/>
              </a:scene3d>
              <a:sp3d>
                <a:bevelT w="12700"/>
                <a:bevelB w="12700"/>
              </a:sp3d>
            </c:spPr>
            <c:extLst>
              <c:ext xmlns:c16="http://schemas.microsoft.com/office/drawing/2014/chart" uri="{C3380CC4-5D6E-409C-BE32-E72D297353CC}">
                <c16:uniqueId val="{00000001-22FB-467A-A38C-4187FD05B81C}"/>
              </c:ext>
            </c:extLst>
          </c:dPt>
          <c:dPt>
            <c:idx val="1"/>
            <c:bubble3D val="0"/>
            <c:spPr>
              <a:gradFill flip="none" rotWithShape="1">
                <a:gsLst>
                  <a:gs pos="0">
                    <a:srgbClr val="FF0000"/>
                  </a:gs>
                  <a:gs pos="98000">
                    <a:srgbClr val="FF3300"/>
                  </a:gs>
                </a:gsLst>
                <a:path path="circle">
                  <a:fillToRect t="100000" r="100000"/>
                </a:path>
                <a:tileRect l="-100000" b="-100000"/>
              </a:gradFill>
              <a:ln>
                <a:noFill/>
              </a:ln>
              <a:scene3d>
                <a:camera prst="orthographicFront"/>
                <a:lightRig rig="threePt" dir="t"/>
              </a:scene3d>
              <a:sp3d>
                <a:bevelT w="12700"/>
                <a:bevelB w="12700"/>
              </a:sp3d>
            </c:spPr>
            <c:extLst>
              <c:ext xmlns:c16="http://schemas.microsoft.com/office/drawing/2014/chart" uri="{C3380CC4-5D6E-409C-BE32-E72D297353CC}">
                <c16:uniqueId val="{00000003-22FB-467A-A38C-4187FD05B81C}"/>
              </c:ext>
            </c:extLst>
          </c:dPt>
          <c:dPt>
            <c:idx val="2"/>
            <c:bubble3D val="0"/>
            <c:spPr>
              <a:gradFill flip="none" rotWithShape="1">
                <a:gsLst>
                  <a:gs pos="31000">
                    <a:srgbClr val="FF0000"/>
                  </a:gs>
                  <a:gs pos="80000">
                    <a:schemeClr val="accent4">
                      <a:lumMod val="60000"/>
                      <a:lumOff val="40000"/>
                    </a:schemeClr>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5-22FB-467A-A38C-4187FD05B81C}"/>
              </c:ext>
            </c:extLst>
          </c:dPt>
          <c:dPt>
            <c:idx val="3"/>
            <c:bubble3D val="0"/>
            <c:spPr>
              <a:gradFill flip="none" rotWithShape="1">
                <a:gsLst>
                  <a:gs pos="0">
                    <a:srgbClr val="FF0000"/>
                  </a:gs>
                  <a:gs pos="81000">
                    <a:srgbClr val="FFC000"/>
                  </a:gs>
                  <a:gs pos="36000">
                    <a:srgbClr val="FFC0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7-22FB-467A-A38C-4187FD05B81C}"/>
              </c:ext>
            </c:extLst>
          </c:dPt>
          <c:dPt>
            <c:idx val="4"/>
            <c:bubble3D val="0"/>
            <c:spPr>
              <a:gradFill flip="none" rotWithShape="1">
                <a:gsLst>
                  <a:gs pos="0">
                    <a:srgbClr val="FFFF00"/>
                  </a:gs>
                  <a:gs pos="100000">
                    <a:srgbClr val="FFFF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9-22FB-467A-A38C-4187FD05B81C}"/>
              </c:ext>
            </c:extLst>
          </c:dPt>
          <c:dPt>
            <c:idx val="5"/>
            <c:bubble3D val="0"/>
            <c:spPr>
              <a:gradFill flip="none" rotWithShape="1">
                <a:gsLst>
                  <a:gs pos="0">
                    <a:srgbClr val="FFFF00"/>
                  </a:gs>
                  <a:gs pos="100000">
                    <a:schemeClr val="accent6">
                      <a:lumMod val="30000"/>
                      <a:lumOff val="70000"/>
                    </a:schemeClr>
                  </a:gs>
                </a:gsLst>
                <a:lin ang="27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B-22FB-467A-A38C-4187FD05B81C}"/>
              </c:ext>
            </c:extLst>
          </c:dPt>
          <c:dPt>
            <c:idx val="6"/>
            <c:bubble3D val="0"/>
            <c:spPr>
              <a:gradFill flip="none" rotWithShape="1">
                <a:gsLst>
                  <a:gs pos="0">
                    <a:schemeClr val="accent6">
                      <a:lumMod val="0"/>
                      <a:lumOff val="100000"/>
                    </a:schemeClr>
                  </a:gs>
                  <a:gs pos="35000">
                    <a:schemeClr val="accent6">
                      <a:lumMod val="0"/>
                      <a:lumOff val="100000"/>
                    </a:schemeClr>
                  </a:gs>
                  <a:gs pos="100000">
                    <a:schemeClr val="accent6">
                      <a:lumMod val="100000"/>
                    </a:schemeClr>
                  </a:gs>
                </a:gsLst>
                <a:path path="circle">
                  <a:fillToRect l="50000" t="-80000" r="50000" b="18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D-22FB-467A-A38C-4187FD05B81C}"/>
              </c:ext>
            </c:extLst>
          </c:dPt>
          <c:dPt>
            <c:idx val="7"/>
            <c:bubble3D val="0"/>
            <c:spPr>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F-22FB-467A-A38C-4187FD05B81C}"/>
              </c:ext>
            </c:extLst>
          </c:dPt>
          <c:dPt>
            <c:idx val="8"/>
            <c:bubble3D val="0"/>
            <c:spPr>
              <a:gradFill flip="none" rotWithShape="1">
                <a:gsLst>
                  <a:gs pos="0">
                    <a:schemeClr val="accent6">
                      <a:lumMod val="89000"/>
                    </a:schemeClr>
                  </a:gs>
                  <a:gs pos="23000">
                    <a:schemeClr val="accent6">
                      <a:lumMod val="89000"/>
                    </a:schemeClr>
                  </a:gs>
                  <a:gs pos="69000">
                    <a:schemeClr val="accent6">
                      <a:lumMod val="75000"/>
                    </a:schemeClr>
                  </a:gs>
                  <a:gs pos="97000">
                    <a:schemeClr val="accent6">
                      <a:lumMod val="70000"/>
                    </a:schemeClr>
                  </a:gs>
                </a:gsLst>
                <a:path path="circle">
                  <a:fillToRect l="50000" t="50000" r="50000" b="5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11-22FB-467A-A38C-4187FD05B81C}"/>
              </c:ext>
            </c:extLst>
          </c:dPt>
          <c:dPt>
            <c:idx val="9"/>
            <c:bubble3D val="0"/>
            <c:spPr>
              <a:solidFill>
                <a:schemeClr val="accent6">
                  <a:lumMod val="75000"/>
                </a:schemeClr>
              </a:solidFill>
              <a:ln>
                <a:noFill/>
              </a:ln>
              <a:scene3d>
                <a:camera prst="orthographicFront"/>
                <a:lightRig rig="threePt" dir="t"/>
              </a:scene3d>
              <a:sp3d>
                <a:bevelT w="12700"/>
                <a:bevelB w="12700"/>
              </a:sp3d>
            </c:spPr>
            <c:extLst>
              <c:ext xmlns:c16="http://schemas.microsoft.com/office/drawing/2014/chart" uri="{C3380CC4-5D6E-409C-BE32-E72D297353CC}">
                <c16:uniqueId val="{00000013-22FB-467A-A38C-4187FD05B81C}"/>
              </c:ext>
            </c:extLst>
          </c:dPt>
          <c:dPt>
            <c:idx val="10"/>
            <c:bubble3D val="0"/>
            <c:spPr>
              <a:noFill/>
              <a:ln>
                <a:noFill/>
              </a:ln>
              <a:scene3d>
                <a:camera prst="orthographicFront"/>
                <a:lightRig rig="threePt" dir="t"/>
              </a:scene3d>
              <a:sp3d>
                <a:bevelT w="12700"/>
                <a:bevelB w="12700"/>
              </a:sp3d>
            </c:spPr>
            <c:extLst>
              <c:ext xmlns:c16="http://schemas.microsoft.com/office/drawing/2014/chart" uri="{C3380CC4-5D6E-409C-BE32-E72D297353CC}">
                <c16:uniqueId val="{00000015-22FB-467A-A38C-4187FD05B81C}"/>
              </c:ext>
            </c:extLst>
          </c:dPt>
          <c:dLbls>
            <c:dLbl>
              <c:idx val="0"/>
              <c:layout>
                <c:manualLayout>
                  <c:x val="-4.8359240069084652E-2"/>
                  <c:y val="-9.5011876484560567E-2"/>
                </c:manualLayout>
              </c:layout>
              <c:tx>
                <c:rich>
                  <a:bodyPr/>
                  <a:lstStyle/>
                  <a:p>
                    <a:r>
                      <a:rPr lang="en-US"/>
                      <a:t>10%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22FB-467A-A38C-4187FD05B81C}"/>
                </c:ext>
              </c:extLst>
            </c:dLbl>
            <c:dLbl>
              <c:idx val="1"/>
              <c:layout>
                <c:manualLayout>
                  <c:x val="-3.223949337938975E-2"/>
                  <c:y val="-0.10768012668250197"/>
                </c:manualLayout>
              </c:layout>
              <c:tx>
                <c:rich>
                  <a:bodyPr/>
                  <a:lstStyle/>
                  <a:p>
                    <a:r>
                      <a:rPr lang="en-US"/>
                      <a:t>20%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22FB-467A-A38C-4187FD05B81C}"/>
                </c:ext>
              </c:extLst>
            </c:dLbl>
            <c:dLbl>
              <c:idx val="2"/>
              <c:layout>
                <c:manualLayout>
                  <c:x val="-9.2112838226827871E-3"/>
                  <c:y val="-0.10451306413301664"/>
                </c:manualLayout>
              </c:layout>
              <c:tx>
                <c:rich>
                  <a:bodyPr/>
                  <a:lstStyle/>
                  <a:p>
                    <a:r>
                      <a:rPr lang="en-US"/>
                      <a:t>30%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22FB-467A-A38C-4187FD05B81C}"/>
                </c:ext>
              </c:extLst>
            </c:dLbl>
            <c:dLbl>
              <c:idx val="3"/>
              <c:layout>
                <c:manualLayout>
                  <c:x val="1.8422567645365574E-2"/>
                  <c:y val="-9.5011876484560567E-2"/>
                </c:manualLayout>
              </c:layout>
              <c:tx>
                <c:rich>
                  <a:bodyPr/>
                  <a:lstStyle/>
                  <a:p>
                    <a:r>
                      <a:rPr lang="en-US"/>
                      <a:t>40%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22FB-467A-A38C-4187FD05B81C}"/>
                </c:ext>
              </c:extLst>
            </c:dLbl>
            <c:dLbl>
              <c:idx val="4"/>
              <c:layout>
                <c:manualLayout>
                  <c:x val="4.8099012715201075E-2"/>
                  <c:y val="-0.10688162397421841"/>
                </c:manualLayout>
              </c:layout>
              <c:tx>
                <c:rich>
                  <a:bodyPr/>
                  <a:lstStyle/>
                  <a:p>
                    <a:r>
                      <a:rPr lang="en-US"/>
                      <a:t>50%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22FB-467A-A38C-4187FD05B81C}"/>
                </c:ext>
              </c:extLst>
            </c:dLbl>
            <c:dLbl>
              <c:idx val="5"/>
              <c:layout>
                <c:manualLayout>
                  <c:x val="7.5993091537132906E-2"/>
                  <c:y val="-6.320541760722348E-2"/>
                </c:manualLayout>
              </c:layout>
              <c:tx>
                <c:rich>
                  <a:bodyPr/>
                  <a:lstStyle/>
                  <a:p>
                    <a:r>
                      <a:rPr lang="en-US"/>
                      <a:t>60%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22FB-467A-A38C-4187FD05B81C}"/>
                </c:ext>
              </c:extLst>
            </c:dLbl>
            <c:dLbl>
              <c:idx val="6"/>
              <c:layout>
                <c:manualLayout>
                  <c:x val="9.6718480138169263E-2"/>
                  <c:y val="-3.0097817908201655E-2"/>
                </c:manualLayout>
              </c:layout>
              <c:tx>
                <c:rich>
                  <a:bodyPr/>
                  <a:lstStyle/>
                  <a:p>
                    <a:r>
                      <a:rPr lang="en-US"/>
                      <a:t>70%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22FB-467A-A38C-4187FD05B81C}"/>
                </c:ext>
              </c:extLst>
            </c:dLbl>
            <c:dLbl>
              <c:idx val="7"/>
              <c:layout>
                <c:manualLayout>
                  <c:x val="9.6718480138169263E-2"/>
                  <c:y val="-1.2039127163280689E-2"/>
                </c:manualLayout>
              </c:layout>
              <c:tx>
                <c:rich>
                  <a:bodyPr/>
                  <a:lstStyle/>
                  <a:p>
                    <a:r>
                      <a:rPr lang="en-US"/>
                      <a:t>80%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22FB-467A-A38C-4187FD05B81C}"/>
                </c:ext>
              </c:extLst>
            </c:dLbl>
            <c:dLbl>
              <c:idx val="8"/>
              <c:layout>
                <c:manualLayout>
                  <c:x val="8.9810017271157172E-2"/>
                  <c:y val="2.4078254326561323E-2"/>
                </c:manualLayout>
              </c:layout>
              <c:tx>
                <c:rich>
                  <a:bodyPr/>
                  <a:lstStyle/>
                  <a:p>
                    <a:r>
                      <a:rPr lang="en-US"/>
                      <a:t>90%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22FB-467A-A38C-4187FD05B81C}"/>
                </c:ext>
              </c:extLst>
            </c:dLbl>
            <c:dLbl>
              <c:idx val="9"/>
              <c:layout>
                <c:manualLayout>
                  <c:x val="8.0768545875443812E-2"/>
                  <c:y val="4.2161775062898768E-2"/>
                </c:manualLayout>
              </c:layout>
              <c:tx>
                <c:rich>
                  <a:bodyPr/>
                  <a:lstStyle/>
                  <a:p>
                    <a:r>
                      <a:rPr lang="en-US"/>
                      <a:t>100%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22FB-467A-A38C-4187FD05B81C}"/>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22FB-467A-A38C-4187FD05B81C}"/>
                </c:ext>
              </c:extLst>
            </c:dLbl>
            <c:spPr>
              <a:noFill/>
              <a:ln>
                <a:noFill/>
              </a:ln>
              <a:effectLst/>
              <a:scene3d>
                <a:camera prst="orthographicFront"/>
                <a:lightRig rig="threePt" dir="t"/>
              </a:scene3d>
              <a:sp3d>
                <a:bevelT w="6350"/>
              </a:sp3d>
            </c:spPr>
            <c:txPr>
              <a:bodyPr wrap="square" lIns="38100" tIns="19050" rIns="38100" bIns="19050" anchor="ctr">
                <a:spAutoFit/>
              </a:bodyPr>
              <a:lstStyle/>
              <a:p>
                <a:pPr>
                  <a:defRPr sz="1800" b="1">
                    <a:solidFill>
                      <a:schemeClr val="tx1"/>
                    </a:solidFill>
                  </a:defRPr>
                </a:pPr>
                <a:endParaRPr lang="es-CO"/>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numRef>
              <c:f>[2]velocimetro!$A$24:$A$34</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[3]velocimetro!$B$2:$B$12</c:f>
              <c:numCache>
                <c:formatCode>General</c:formatCode>
                <c:ptCount val="11"/>
                <c:pt idx="0">
                  <c:v>1</c:v>
                </c:pt>
                <c:pt idx="1">
                  <c:v>1</c:v>
                </c:pt>
                <c:pt idx="2">
                  <c:v>1</c:v>
                </c:pt>
                <c:pt idx="3">
                  <c:v>1</c:v>
                </c:pt>
                <c:pt idx="4">
                  <c:v>1</c:v>
                </c:pt>
                <c:pt idx="5">
                  <c:v>1</c:v>
                </c:pt>
                <c:pt idx="6">
                  <c:v>1</c:v>
                </c:pt>
                <c:pt idx="7">
                  <c:v>1</c:v>
                </c:pt>
                <c:pt idx="8">
                  <c:v>1</c:v>
                </c:pt>
                <c:pt idx="9">
                  <c:v>1</c:v>
                </c:pt>
                <c:pt idx="10">
                  <c:v>10</c:v>
                </c:pt>
              </c:numCache>
            </c:numRef>
          </c:val>
          <c:extLst>
            <c:ext xmlns:c16="http://schemas.microsoft.com/office/drawing/2014/chart" uri="{C3380CC4-5D6E-409C-BE32-E72D297353CC}">
              <c16:uniqueId val="{00000016-22FB-467A-A38C-4187FD05B81C}"/>
            </c:ext>
          </c:extLst>
        </c:ser>
        <c:dLbls>
          <c:showLegendKey val="0"/>
          <c:showVal val="0"/>
          <c:showCatName val="0"/>
          <c:showSerName val="0"/>
          <c:showPercent val="0"/>
          <c:showBubbleSize val="0"/>
          <c:showLeaderLines val="0"/>
        </c:dLbls>
        <c:firstSliceAng val="270"/>
        <c:holeSize val="70"/>
      </c:doughnutChart>
      <c:pieChart>
        <c:varyColors val="1"/>
        <c:ser>
          <c:idx val="1"/>
          <c:order val="1"/>
          <c:tx>
            <c:v>Puntero</c:v>
          </c:tx>
          <c:spPr>
            <a:noFill/>
          </c:spPr>
          <c:dPt>
            <c:idx val="1"/>
            <c:bubble3D val="0"/>
            <c:spPr>
              <a:solidFill>
                <a:srgbClr val="ED7D31">
                  <a:lumMod val="75000"/>
                </a:srgbClr>
              </a:solidFill>
            </c:spPr>
            <c:extLst>
              <c:ext xmlns:c16="http://schemas.microsoft.com/office/drawing/2014/chart" uri="{C3380CC4-5D6E-409C-BE32-E72D297353CC}">
                <c16:uniqueId val="{00000018-22FB-467A-A38C-4187FD05B81C}"/>
              </c:ext>
            </c:extLst>
          </c:dPt>
          <c:dPt>
            <c:idx val="2"/>
            <c:bubble3D val="0"/>
            <c:extLst>
              <c:ext xmlns:c16="http://schemas.microsoft.com/office/drawing/2014/chart" uri="{C3380CC4-5D6E-409C-BE32-E72D297353CC}">
                <c16:uniqueId val="{00000019-22FB-467A-A38C-4187FD05B81C}"/>
              </c:ext>
            </c:extLst>
          </c:dPt>
          <c:val>
            <c:numRef>
              <c:f>'FORMULAS%'!$W$40:$W$42</c:f>
              <c:numCache>
                <c:formatCode>0.0%</c:formatCode>
                <c:ptCount val="3"/>
                <c:pt idx="0">
                  <c:v>0.89296943904967607</c:v>
                </c:pt>
                <c:pt idx="1">
                  <c:v>0.03</c:v>
                </c:pt>
                <c:pt idx="2">
                  <c:v>1.0770305609503239</c:v>
                </c:pt>
              </c:numCache>
            </c:numRef>
          </c:val>
          <c:extLst>
            <c:ext xmlns:c16="http://schemas.microsoft.com/office/drawing/2014/chart" uri="{C3380CC4-5D6E-409C-BE32-E72D297353CC}">
              <c16:uniqueId val="{0000001A-22FB-467A-A38C-4187FD05B81C}"/>
            </c:ext>
          </c:extLst>
        </c:ser>
        <c:dLbls>
          <c:showLegendKey val="0"/>
          <c:showVal val="0"/>
          <c:showCatName val="0"/>
          <c:showSerName val="0"/>
          <c:showPercent val="0"/>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929954245465188"/>
          <c:y val="8.0908500862554869E-2"/>
          <c:w val="0.66941020292555165"/>
          <c:h val="0.8650784839530633"/>
        </c:manualLayout>
      </c:layout>
      <c:doughnutChart>
        <c:varyColors val="1"/>
        <c:ser>
          <c:idx val="0"/>
          <c:order val="0"/>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scene3d>
              <a:camera prst="orthographicFront"/>
              <a:lightRig rig="threePt" dir="t"/>
            </a:scene3d>
            <a:sp3d>
              <a:bevelT w="12700"/>
              <a:bevelB w="12700"/>
            </a:sp3d>
          </c:spPr>
          <c:dPt>
            <c:idx val="0"/>
            <c:bubble3D val="0"/>
            <c:spPr>
              <a:solidFill>
                <a:srgbClr val="FF0000"/>
              </a:solidFill>
              <a:ln>
                <a:noFill/>
              </a:ln>
              <a:scene3d>
                <a:camera prst="orthographicFront"/>
                <a:lightRig rig="threePt" dir="t"/>
              </a:scene3d>
              <a:sp3d>
                <a:bevelT w="12700"/>
                <a:bevelB w="12700"/>
              </a:sp3d>
            </c:spPr>
            <c:extLst>
              <c:ext xmlns:c16="http://schemas.microsoft.com/office/drawing/2014/chart" uri="{C3380CC4-5D6E-409C-BE32-E72D297353CC}">
                <c16:uniqueId val="{00000001-1496-4F03-9FB6-1B74D955C3B8}"/>
              </c:ext>
            </c:extLst>
          </c:dPt>
          <c:dPt>
            <c:idx val="1"/>
            <c:bubble3D val="0"/>
            <c:spPr>
              <a:gradFill flip="none" rotWithShape="1">
                <a:gsLst>
                  <a:gs pos="0">
                    <a:srgbClr val="FF0000"/>
                  </a:gs>
                  <a:gs pos="98000">
                    <a:srgbClr val="FF3300"/>
                  </a:gs>
                </a:gsLst>
                <a:path path="circle">
                  <a:fillToRect t="100000" r="100000"/>
                </a:path>
                <a:tileRect l="-100000" b="-100000"/>
              </a:gradFill>
              <a:ln>
                <a:noFill/>
              </a:ln>
              <a:scene3d>
                <a:camera prst="orthographicFront"/>
                <a:lightRig rig="threePt" dir="t"/>
              </a:scene3d>
              <a:sp3d>
                <a:bevelT w="12700"/>
                <a:bevelB w="12700"/>
              </a:sp3d>
            </c:spPr>
            <c:extLst>
              <c:ext xmlns:c16="http://schemas.microsoft.com/office/drawing/2014/chart" uri="{C3380CC4-5D6E-409C-BE32-E72D297353CC}">
                <c16:uniqueId val="{00000003-1496-4F03-9FB6-1B74D955C3B8}"/>
              </c:ext>
            </c:extLst>
          </c:dPt>
          <c:dPt>
            <c:idx val="2"/>
            <c:bubble3D val="0"/>
            <c:spPr>
              <a:gradFill flip="none" rotWithShape="1">
                <a:gsLst>
                  <a:gs pos="31000">
                    <a:srgbClr val="FF0000"/>
                  </a:gs>
                  <a:gs pos="80000">
                    <a:schemeClr val="accent4">
                      <a:lumMod val="60000"/>
                      <a:lumOff val="40000"/>
                    </a:schemeClr>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5-1496-4F03-9FB6-1B74D955C3B8}"/>
              </c:ext>
            </c:extLst>
          </c:dPt>
          <c:dPt>
            <c:idx val="3"/>
            <c:bubble3D val="0"/>
            <c:spPr>
              <a:gradFill flip="none" rotWithShape="1">
                <a:gsLst>
                  <a:gs pos="0">
                    <a:srgbClr val="FF0000"/>
                  </a:gs>
                  <a:gs pos="81000">
                    <a:srgbClr val="FFC000"/>
                  </a:gs>
                  <a:gs pos="36000">
                    <a:srgbClr val="FFC0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7-1496-4F03-9FB6-1B74D955C3B8}"/>
              </c:ext>
            </c:extLst>
          </c:dPt>
          <c:dPt>
            <c:idx val="4"/>
            <c:bubble3D val="0"/>
            <c:spPr>
              <a:gradFill flip="none" rotWithShape="1">
                <a:gsLst>
                  <a:gs pos="0">
                    <a:srgbClr val="FFFF00"/>
                  </a:gs>
                  <a:gs pos="100000">
                    <a:srgbClr val="FFFF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9-1496-4F03-9FB6-1B74D955C3B8}"/>
              </c:ext>
            </c:extLst>
          </c:dPt>
          <c:dPt>
            <c:idx val="5"/>
            <c:bubble3D val="0"/>
            <c:spPr>
              <a:gradFill flip="none" rotWithShape="1">
                <a:gsLst>
                  <a:gs pos="0">
                    <a:srgbClr val="FFFF00"/>
                  </a:gs>
                  <a:gs pos="100000">
                    <a:schemeClr val="accent6">
                      <a:lumMod val="30000"/>
                      <a:lumOff val="70000"/>
                    </a:schemeClr>
                  </a:gs>
                </a:gsLst>
                <a:lin ang="27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B-1496-4F03-9FB6-1B74D955C3B8}"/>
              </c:ext>
            </c:extLst>
          </c:dPt>
          <c:dPt>
            <c:idx val="6"/>
            <c:bubble3D val="0"/>
            <c:spPr>
              <a:gradFill flip="none" rotWithShape="1">
                <a:gsLst>
                  <a:gs pos="0">
                    <a:schemeClr val="accent6">
                      <a:lumMod val="0"/>
                      <a:lumOff val="100000"/>
                    </a:schemeClr>
                  </a:gs>
                  <a:gs pos="35000">
                    <a:schemeClr val="accent6">
                      <a:lumMod val="0"/>
                      <a:lumOff val="100000"/>
                    </a:schemeClr>
                  </a:gs>
                  <a:gs pos="100000">
                    <a:schemeClr val="accent6">
                      <a:lumMod val="100000"/>
                    </a:schemeClr>
                  </a:gs>
                </a:gsLst>
                <a:path path="circle">
                  <a:fillToRect l="50000" t="-80000" r="50000" b="18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D-1496-4F03-9FB6-1B74D955C3B8}"/>
              </c:ext>
            </c:extLst>
          </c:dPt>
          <c:dPt>
            <c:idx val="7"/>
            <c:bubble3D val="0"/>
            <c:spPr>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F-1496-4F03-9FB6-1B74D955C3B8}"/>
              </c:ext>
            </c:extLst>
          </c:dPt>
          <c:dPt>
            <c:idx val="8"/>
            <c:bubble3D val="0"/>
            <c:spPr>
              <a:gradFill flip="none" rotWithShape="1">
                <a:gsLst>
                  <a:gs pos="0">
                    <a:schemeClr val="accent6">
                      <a:lumMod val="89000"/>
                    </a:schemeClr>
                  </a:gs>
                  <a:gs pos="23000">
                    <a:schemeClr val="accent6">
                      <a:lumMod val="89000"/>
                    </a:schemeClr>
                  </a:gs>
                  <a:gs pos="69000">
                    <a:schemeClr val="accent6">
                      <a:lumMod val="75000"/>
                    </a:schemeClr>
                  </a:gs>
                  <a:gs pos="97000">
                    <a:schemeClr val="accent6">
                      <a:lumMod val="70000"/>
                    </a:schemeClr>
                  </a:gs>
                </a:gsLst>
                <a:path path="circle">
                  <a:fillToRect l="50000" t="50000" r="50000" b="5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11-1496-4F03-9FB6-1B74D955C3B8}"/>
              </c:ext>
            </c:extLst>
          </c:dPt>
          <c:dPt>
            <c:idx val="9"/>
            <c:bubble3D val="0"/>
            <c:spPr>
              <a:solidFill>
                <a:schemeClr val="accent6">
                  <a:lumMod val="75000"/>
                </a:schemeClr>
              </a:solidFill>
              <a:ln>
                <a:noFill/>
              </a:ln>
              <a:scene3d>
                <a:camera prst="orthographicFront"/>
                <a:lightRig rig="threePt" dir="t"/>
              </a:scene3d>
              <a:sp3d>
                <a:bevelT w="12700"/>
                <a:bevelB w="12700"/>
              </a:sp3d>
            </c:spPr>
            <c:extLst>
              <c:ext xmlns:c16="http://schemas.microsoft.com/office/drawing/2014/chart" uri="{C3380CC4-5D6E-409C-BE32-E72D297353CC}">
                <c16:uniqueId val="{00000013-1496-4F03-9FB6-1B74D955C3B8}"/>
              </c:ext>
            </c:extLst>
          </c:dPt>
          <c:dPt>
            <c:idx val="10"/>
            <c:bubble3D val="0"/>
            <c:spPr>
              <a:noFill/>
              <a:ln>
                <a:noFill/>
              </a:ln>
              <a:scene3d>
                <a:camera prst="orthographicFront"/>
                <a:lightRig rig="threePt" dir="t"/>
              </a:scene3d>
              <a:sp3d>
                <a:bevelT w="12700"/>
                <a:bevelB w="12700"/>
              </a:sp3d>
            </c:spPr>
            <c:extLst>
              <c:ext xmlns:c16="http://schemas.microsoft.com/office/drawing/2014/chart" uri="{C3380CC4-5D6E-409C-BE32-E72D297353CC}">
                <c16:uniqueId val="{00000015-1496-4F03-9FB6-1B74D955C3B8}"/>
              </c:ext>
            </c:extLst>
          </c:dPt>
          <c:dLbls>
            <c:dLbl>
              <c:idx val="0"/>
              <c:layout>
                <c:manualLayout>
                  <c:x val="-4.8359240069084652E-2"/>
                  <c:y val="-9.5011876484560567E-2"/>
                </c:manualLayout>
              </c:layout>
              <c:tx>
                <c:rich>
                  <a:bodyPr/>
                  <a:lstStyle/>
                  <a:p>
                    <a:r>
                      <a:rPr lang="en-US"/>
                      <a:t>10%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1496-4F03-9FB6-1B74D955C3B8}"/>
                </c:ext>
              </c:extLst>
            </c:dLbl>
            <c:dLbl>
              <c:idx val="1"/>
              <c:layout>
                <c:manualLayout>
                  <c:x val="-3.223949337938975E-2"/>
                  <c:y val="-0.10768012668250197"/>
                </c:manualLayout>
              </c:layout>
              <c:tx>
                <c:rich>
                  <a:bodyPr/>
                  <a:lstStyle/>
                  <a:p>
                    <a:r>
                      <a:rPr lang="en-US"/>
                      <a:t>20%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1496-4F03-9FB6-1B74D955C3B8}"/>
                </c:ext>
              </c:extLst>
            </c:dLbl>
            <c:dLbl>
              <c:idx val="2"/>
              <c:layout>
                <c:manualLayout>
                  <c:x val="-9.2112838226827871E-3"/>
                  <c:y val="-0.10451306413301664"/>
                </c:manualLayout>
              </c:layout>
              <c:tx>
                <c:rich>
                  <a:bodyPr/>
                  <a:lstStyle/>
                  <a:p>
                    <a:r>
                      <a:rPr lang="en-US"/>
                      <a:t>30%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1496-4F03-9FB6-1B74D955C3B8}"/>
                </c:ext>
              </c:extLst>
            </c:dLbl>
            <c:dLbl>
              <c:idx val="3"/>
              <c:layout>
                <c:manualLayout>
                  <c:x val="1.8422567645365574E-2"/>
                  <c:y val="-9.5011876484560567E-2"/>
                </c:manualLayout>
              </c:layout>
              <c:tx>
                <c:rich>
                  <a:bodyPr/>
                  <a:lstStyle/>
                  <a:p>
                    <a:r>
                      <a:rPr lang="en-US"/>
                      <a:t>40%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1496-4F03-9FB6-1B74D955C3B8}"/>
                </c:ext>
              </c:extLst>
            </c:dLbl>
            <c:dLbl>
              <c:idx val="4"/>
              <c:layout>
                <c:manualLayout>
                  <c:x val="4.8099012715201075E-2"/>
                  <c:y val="-0.10688162397421841"/>
                </c:manualLayout>
              </c:layout>
              <c:tx>
                <c:rich>
                  <a:bodyPr/>
                  <a:lstStyle/>
                  <a:p>
                    <a:r>
                      <a:rPr lang="en-US"/>
                      <a:t>50%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1496-4F03-9FB6-1B74D955C3B8}"/>
                </c:ext>
              </c:extLst>
            </c:dLbl>
            <c:dLbl>
              <c:idx val="5"/>
              <c:layout>
                <c:manualLayout>
                  <c:x val="7.5993091537132906E-2"/>
                  <c:y val="-6.320541760722348E-2"/>
                </c:manualLayout>
              </c:layout>
              <c:tx>
                <c:rich>
                  <a:bodyPr/>
                  <a:lstStyle/>
                  <a:p>
                    <a:r>
                      <a:rPr lang="en-US"/>
                      <a:t>60%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1496-4F03-9FB6-1B74D955C3B8}"/>
                </c:ext>
              </c:extLst>
            </c:dLbl>
            <c:dLbl>
              <c:idx val="6"/>
              <c:layout>
                <c:manualLayout>
                  <c:x val="9.6718480138169263E-2"/>
                  <c:y val="-3.0097817908201655E-2"/>
                </c:manualLayout>
              </c:layout>
              <c:tx>
                <c:rich>
                  <a:bodyPr/>
                  <a:lstStyle/>
                  <a:p>
                    <a:r>
                      <a:rPr lang="en-US"/>
                      <a:t>70%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1496-4F03-9FB6-1B74D955C3B8}"/>
                </c:ext>
              </c:extLst>
            </c:dLbl>
            <c:dLbl>
              <c:idx val="7"/>
              <c:layout>
                <c:manualLayout>
                  <c:x val="9.6718480138169263E-2"/>
                  <c:y val="-1.2039127163280689E-2"/>
                </c:manualLayout>
              </c:layout>
              <c:tx>
                <c:rich>
                  <a:bodyPr/>
                  <a:lstStyle/>
                  <a:p>
                    <a:r>
                      <a:rPr lang="en-US"/>
                      <a:t>80%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1496-4F03-9FB6-1B74D955C3B8}"/>
                </c:ext>
              </c:extLst>
            </c:dLbl>
            <c:dLbl>
              <c:idx val="8"/>
              <c:layout>
                <c:manualLayout>
                  <c:x val="8.9810017271157172E-2"/>
                  <c:y val="2.4078254326561323E-2"/>
                </c:manualLayout>
              </c:layout>
              <c:tx>
                <c:rich>
                  <a:bodyPr/>
                  <a:lstStyle/>
                  <a:p>
                    <a:r>
                      <a:rPr lang="en-US"/>
                      <a:t>90%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1496-4F03-9FB6-1B74D955C3B8}"/>
                </c:ext>
              </c:extLst>
            </c:dLbl>
            <c:dLbl>
              <c:idx val="9"/>
              <c:layout>
                <c:manualLayout>
                  <c:x val="8.0768545875443812E-2"/>
                  <c:y val="4.2161775062898768E-2"/>
                </c:manualLayout>
              </c:layout>
              <c:tx>
                <c:rich>
                  <a:bodyPr/>
                  <a:lstStyle/>
                  <a:p>
                    <a:r>
                      <a:rPr lang="en-US"/>
                      <a:t>100%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1496-4F03-9FB6-1B74D955C3B8}"/>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1496-4F03-9FB6-1B74D955C3B8}"/>
                </c:ext>
              </c:extLst>
            </c:dLbl>
            <c:spPr>
              <a:noFill/>
              <a:ln>
                <a:noFill/>
              </a:ln>
              <a:effectLst/>
              <a:scene3d>
                <a:camera prst="orthographicFront"/>
                <a:lightRig rig="threePt" dir="t"/>
              </a:scene3d>
              <a:sp3d>
                <a:bevelT w="6350"/>
              </a:sp3d>
            </c:spPr>
            <c:txPr>
              <a:bodyPr wrap="square" lIns="38100" tIns="19050" rIns="38100" bIns="19050" anchor="ctr">
                <a:spAutoFit/>
              </a:bodyPr>
              <a:lstStyle/>
              <a:p>
                <a:pPr>
                  <a:defRPr sz="1800" b="1">
                    <a:solidFill>
                      <a:schemeClr val="tx1"/>
                    </a:solidFill>
                  </a:defRPr>
                </a:pPr>
                <a:endParaRPr lang="es-CO"/>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numRef>
              <c:f>[2]velocimetro!$A$24:$A$34</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[3]velocimetro!$B$2:$B$12</c:f>
              <c:numCache>
                <c:formatCode>General</c:formatCode>
                <c:ptCount val="11"/>
                <c:pt idx="0">
                  <c:v>1</c:v>
                </c:pt>
                <c:pt idx="1">
                  <c:v>1</c:v>
                </c:pt>
                <c:pt idx="2">
                  <c:v>1</c:v>
                </c:pt>
                <c:pt idx="3">
                  <c:v>1</c:v>
                </c:pt>
                <c:pt idx="4">
                  <c:v>1</c:v>
                </c:pt>
                <c:pt idx="5">
                  <c:v>1</c:v>
                </c:pt>
                <c:pt idx="6">
                  <c:v>1</c:v>
                </c:pt>
                <c:pt idx="7">
                  <c:v>1</c:v>
                </c:pt>
                <c:pt idx="8">
                  <c:v>1</c:v>
                </c:pt>
                <c:pt idx="9">
                  <c:v>1</c:v>
                </c:pt>
                <c:pt idx="10">
                  <c:v>10</c:v>
                </c:pt>
              </c:numCache>
            </c:numRef>
          </c:val>
          <c:extLst>
            <c:ext xmlns:c16="http://schemas.microsoft.com/office/drawing/2014/chart" uri="{C3380CC4-5D6E-409C-BE32-E72D297353CC}">
              <c16:uniqueId val="{00000016-1496-4F03-9FB6-1B74D955C3B8}"/>
            </c:ext>
          </c:extLst>
        </c:ser>
        <c:dLbls>
          <c:showLegendKey val="0"/>
          <c:showVal val="0"/>
          <c:showCatName val="0"/>
          <c:showSerName val="0"/>
          <c:showPercent val="0"/>
          <c:showBubbleSize val="0"/>
          <c:showLeaderLines val="0"/>
        </c:dLbls>
        <c:firstSliceAng val="270"/>
        <c:holeSize val="70"/>
      </c:doughnutChart>
      <c:pieChart>
        <c:varyColors val="1"/>
        <c:ser>
          <c:idx val="1"/>
          <c:order val="1"/>
          <c:tx>
            <c:v>Puntero</c:v>
          </c:tx>
          <c:dPt>
            <c:idx val="0"/>
            <c:bubble3D val="0"/>
            <c:spPr>
              <a:noFill/>
            </c:spPr>
            <c:extLst>
              <c:ext xmlns:c16="http://schemas.microsoft.com/office/drawing/2014/chart" uri="{C3380CC4-5D6E-409C-BE32-E72D297353CC}">
                <c16:uniqueId val="{00000018-1496-4F03-9FB6-1B74D955C3B8}"/>
              </c:ext>
            </c:extLst>
          </c:dPt>
          <c:dPt>
            <c:idx val="2"/>
            <c:bubble3D val="0"/>
            <c:spPr>
              <a:noFill/>
            </c:spPr>
            <c:extLst>
              <c:ext xmlns:c16="http://schemas.microsoft.com/office/drawing/2014/chart" uri="{C3380CC4-5D6E-409C-BE32-E72D297353CC}">
                <c16:uniqueId val="{0000001A-1496-4F03-9FB6-1B74D955C3B8}"/>
              </c:ext>
            </c:extLst>
          </c:dPt>
          <c:val>
            <c:numRef>
              <c:f>'FORMULAS%'!$W$57:$W$59</c:f>
              <c:numCache>
                <c:formatCode>0.0%</c:formatCode>
                <c:ptCount val="3"/>
                <c:pt idx="0">
                  <c:v>0.92061317812548227</c:v>
                </c:pt>
                <c:pt idx="1">
                  <c:v>0.03</c:v>
                </c:pt>
                <c:pt idx="2">
                  <c:v>1.0493868218745177</c:v>
                </c:pt>
              </c:numCache>
            </c:numRef>
          </c:val>
          <c:extLst>
            <c:ext xmlns:c16="http://schemas.microsoft.com/office/drawing/2014/chart" uri="{C3380CC4-5D6E-409C-BE32-E72D297353CC}">
              <c16:uniqueId val="{0000001B-1496-4F03-9FB6-1B74D955C3B8}"/>
            </c:ext>
          </c:extLst>
        </c:ser>
        <c:dLbls>
          <c:showLegendKey val="0"/>
          <c:showVal val="0"/>
          <c:showCatName val="0"/>
          <c:showSerName val="0"/>
          <c:showPercent val="0"/>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929954245465188"/>
          <c:y val="8.0908500862554869E-2"/>
          <c:w val="0.66941020292555165"/>
          <c:h val="0.8650784839530633"/>
        </c:manualLayout>
      </c:layout>
      <c:doughnutChart>
        <c:varyColors val="1"/>
        <c:ser>
          <c:idx val="0"/>
          <c:order val="0"/>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scene3d>
              <a:camera prst="orthographicFront"/>
              <a:lightRig rig="threePt" dir="t"/>
            </a:scene3d>
            <a:sp3d>
              <a:bevelT w="12700"/>
              <a:bevelB w="12700"/>
            </a:sp3d>
          </c:spPr>
          <c:dPt>
            <c:idx val="0"/>
            <c:bubble3D val="0"/>
            <c:spPr>
              <a:solidFill>
                <a:srgbClr val="FF0000"/>
              </a:solidFill>
              <a:ln>
                <a:noFill/>
              </a:ln>
              <a:scene3d>
                <a:camera prst="orthographicFront"/>
                <a:lightRig rig="threePt" dir="t"/>
              </a:scene3d>
              <a:sp3d>
                <a:bevelT w="12700"/>
                <a:bevelB w="12700"/>
              </a:sp3d>
            </c:spPr>
            <c:extLst>
              <c:ext xmlns:c16="http://schemas.microsoft.com/office/drawing/2014/chart" uri="{C3380CC4-5D6E-409C-BE32-E72D297353CC}">
                <c16:uniqueId val="{00000001-6996-42E1-8695-5D3E148678B5}"/>
              </c:ext>
            </c:extLst>
          </c:dPt>
          <c:dPt>
            <c:idx val="1"/>
            <c:bubble3D val="0"/>
            <c:spPr>
              <a:gradFill flip="none" rotWithShape="1">
                <a:gsLst>
                  <a:gs pos="0">
                    <a:srgbClr val="FF0000"/>
                  </a:gs>
                  <a:gs pos="98000">
                    <a:srgbClr val="FF3300"/>
                  </a:gs>
                </a:gsLst>
                <a:path path="circle">
                  <a:fillToRect t="100000" r="100000"/>
                </a:path>
                <a:tileRect l="-100000" b="-100000"/>
              </a:gradFill>
              <a:ln>
                <a:noFill/>
              </a:ln>
              <a:scene3d>
                <a:camera prst="orthographicFront"/>
                <a:lightRig rig="threePt" dir="t"/>
              </a:scene3d>
              <a:sp3d>
                <a:bevelT w="12700"/>
                <a:bevelB w="12700"/>
              </a:sp3d>
            </c:spPr>
            <c:extLst>
              <c:ext xmlns:c16="http://schemas.microsoft.com/office/drawing/2014/chart" uri="{C3380CC4-5D6E-409C-BE32-E72D297353CC}">
                <c16:uniqueId val="{00000003-6996-42E1-8695-5D3E148678B5}"/>
              </c:ext>
            </c:extLst>
          </c:dPt>
          <c:dPt>
            <c:idx val="2"/>
            <c:bubble3D val="0"/>
            <c:spPr>
              <a:gradFill flip="none" rotWithShape="1">
                <a:gsLst>
                  <a:gs pos="31000">
                    <a:srgbClr val="FF0000"/>
                  </a:gs>
                  <a:gs pos="80000">
                    <a:schemeClr val="accent4">
                      <a:lumMod val="60000"/>
                      <a:lumOff val="40000"/>
                    </a:schemeClr>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5-6996-42E1-8695-5D3E148678B5}"/>
              </c:ext>
            </c:extLst>
          </c:dPt>
          <c:dPt>
            <c:idx val="3"/>
            <c:bubble3D val="0"/>
            <c:spPr>
              <a:gradFill flip="none" rotWithShape="1">
                <a:gsLst>
                  <a:gs pos="0">
                    <a:srgbClr val="FF0000"/>
                  </a:gs>
                  <a:gs pos="81000">
                    <a:srgbClr val="FFC000"/>
                  </a:gs>
                  <a:gs pos="36000">
                    <a:srgbClr val="FFC0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7-6996-42E1-8695-5D3E148678B5}"/>
              </c:ext>
            </c:extLst>
          </c:dPt>
          <c:dPt>
            <c:idx val="4"/>
            <c:bubble3D val="0"/>
            <c:spPr>
              <a:gradFill flip="none" rotWithShape="1">
                <a:gsLst>
                  <a:gs pos="0">
                    <a:srgbClr val="FFFF00"/>
                  </a:gs>
                  <a:gs pos="100000">
                    <a:srgbClr val="FFFF00"/>
                  </a:gs>
                </a:gsLst>
                <a:lin ang="189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9-6996-42E1-8695-5D3E148678B5}"/>
              </c:ext>
            </c:extLst>
          </c:dPt>
          <c:dPt>
            <c:idx val="5"/>
            <c:bubble3D val="0"/>
            <c:spPr>
              <a:gradFill flip="none" rotWithShape="1">
                <a:gsLst>
                  <a:gs pos="0">
                    <a:srgbClr val="FFFF00"/>
                  </a:gs>
                  <a:gs pos="100000">
                    <a:schemeClr val="accent6">
                      <a:lumMod val="30000"/>
                      <a:lumOff val="70000"/>
                    </a:schemeClr>
                  </a:gs>
                </a:gsLst>
                <a:lin ang="27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B-6996-42E1-8695-5D3E148678B5}"/>
              </c:ext>
            </c:extLst>
          </c:dPt>
          <c:dPt>
            <c:idx val="6"/>
            <c:bubble3D val="0"/>
            <c:spPr>
              <a:gradFill flip="none" rotWithShape="1">
                <a:gsLst>
                  <a:gs pos="0">
                    <a:schemeClr val="accent6">
                      <a:lumMod val="0"/>
                      <a:lumOff val="100000"/>
                    </a:schemeClr>
                  </a:gs>
                  <a:gs pos="35000">
                    <a:schemeClr val="accent6">
                      <a:lumMod val="0"/>
                      <a:lumOff val="100000"/>
                    </a:schemeClr>
                  </a:gs>
                  <a:gs pos="100000">
                    <a:schemeClr val="accent6">
                      <a:lumMod val="100000"/>
                    </a:schemeClr>
                  </a:gs>
                </a:gsLst>
                <a:path path="circle">
                  <a:fillToRect l="50000" t="-80000" r="50000" b="18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D-6996-42E1-8695-5D3E148678B5}"/>
              </c:ext>
            </c:extLst>
          </c:dPt>
          <c:dPt>
            <c:idx val="7"/>
            <c:bubble3D val="0"/>
            <c:spPr>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0F-6996-42E1-8695-5D3E148678B5}"/>
              </c:ext>
            </c:extLst>
          </c:dPt>
          <c:dPt>
            <c:idx val="8"/>
            <c:bubble3D val="0"/>
            <c:spPr>
              <a:gradFill flip="none" rotWithShape="1">
                <a:gsLst>
                  <a:gs pos="0">
                    <a:schemeClr val="accent6">
                      <a:lumMod val="89000"/>
                    </a:schemeClr>
                  </a:gs>
                  <a:gs pos="23000">
                    <a:schemeClr val="accent6">
                      <a:lumMod val="89000"/>
                    </a:schemeClr>
                  </a:gs>
                  <a:gs pos="69000">
                    <a:schemeClr val="accent6">
                      <a:lumMod val="75000"/>
                    </a:schemeClr>
                  </a:gs>
                  <a:gs pos="97000">
                    <a:schemeClr val="accent6">
                      <a:lumMod val="70000"/>
                    </a:schemeClr>
                  </a:gs>
                </a:gsLst>
                <a:path path="circle">
                  <a:fillToRect l="50000" t="50000" r="50000" b="50000"/>
                </a:path>
                <a:tileRect/>
              </a:gradFill>
              <a:ln>
                <a:noFill/>
              </a:ln>
              <a:scene3d>
                <a:camera prst="orthographicFront"/>
                <a:lightRig rig="threePt" dir="t"/>
              </a:scene3d>
              <a:sp3d>
                <a:bevelT w="12700"/>
                <a:bevelB w="12700"/>
              </a:sp3d>
            </c:spPr>
            <c:extLst>
              <c:ext xmlns:c16="http://schemas.microsoft.com/office/drawing/2014/chart" uri="{C3380CC4-5D6E-409C-BE32-E72D297353CC}">
                <c16:uniqueId val="{00000011-6996-42E1-8695-5D3E148678B5}"/>
              </c:ext>
            </c:extLst>
          </c:dPt>
          <c:dPt>
            <c:idx val="9"/>
            <c:bubble3D val="0"/>
            <c:spPr>
              <a:solidFill>
                <a:schemeClr val="accent6">
                  <a:lumMod val="75000"/>
                </a:schemeClr>
              </a:solidFill>
              <a:ln>
                <a:noFill/>
              </a:ln>
              <a:scene3d>
                <a:camera prst="orthographicFront"/>
                <a:lightRig rig="threePt" dir="t"/>
              </a:scene3d>
              <a:sp3d>
                <a:bevelT w="12700"/>
                <a:bevelB w="12700"/>
              </a:sp3d>
            </c:spPr>
            <c:extLst>
              <c:ext xmlns:c16="http://schemas.microsoft.com/office/drawing/2014/chart" uri="{C3380CC4-5D6E-409C-BE32-E72D297353CC}">
                <c16:uniqueId val="{00000013-6996-42E1-8695-5D3E148678B5}"/>
              </c:ext>
            </c:extLst>
          </c:dPt>
          <c:dPt>
            <c:idx val="10"/>
            <c:bubble3D val="0"/>
            <c:spPr>
              <a:noFill/>
              <a:ln>
                <a:noFill/>
              </a:ln>
              <a:scene3d>
                <a:camera prst="orthographicFront"/>
                <a:lightRig rig="threePt" dir="t"/>
              </a:scene3d>
              <a:sp3d>
                <a:bevelT w="12700"/>
                <a:bevelB w="12700"/>
              </a:sp3d>
            </c:spPr>
            <c:extLst>
              <c:ext xmlns:c16="http://schemas.microsoft.com/office/drawing/2014/chart" uri="{C3380CC4-5D6E-409C-BE32-E72D297353CC}">
                <c16:uniqueId val="{00000015-6996-42E1-8695-5D3E148678B5}"/>
              </c:ext>
            </c:extLst>
          </c:dPt>
          <c:dLbls>
            <c:dLbl>
              <c:idx val="0"/>
              <c:layout>
                <c:manualLayout>
                  <c:x val="-4.8359240069084652E-2"/>
                  <c:y val="-9.5011876484560567E-2"/>
                </c:manualLayout>
              </c:layout>
              <c:tx>
                <c:rich>
                  <a:bodyPr/>
                  <a:lstStyle/>
                  <a:p>
                    <a:r>
                      <a:rPr lang="en-US"/>
                      <a:t>10%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6996-42E1-8695-5D3E148678B5}"/>
                </c:ext>
              </c:extLst>
            </c:dLbl>
            <c:dLbl>
              <c:idx val="1"/>
              <c:layout>
                <c:manualLayout>
                  <c:x val="-3.223949337938975E-2"/>
                  <c:y val="-0.10768012668250197"/>
                </c:manualLayout>
              </c:layout>
              <c:tx>
                <c:rich>
                  <a:bodyPr/>
                  <a:lstStyle/>
                  <a:p>
                    <a:r>
                      <a:rPr lang="en-US"/>
                      <a:t>20%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6996-42E1-8695-5D3E148678B5}"/>
                </c:ext>
              </c:extLst>
            </c:dLbl>
            <c:dLbl>
              <c:idx val="2"/>
              <c:layout>
                <c:manualLayout>
                  <c:x val="-9.2112838226827871E-3"/>
                  <c:y val="-0.10451306413301664"/>
                </c:manualLayout>
              </c:layout>
              <c:tx>
                <c:rich>
                  <a:bodyPr/>
                  <a:lstStyle/>
                  <a:p>
                    <a:r>
                      <a:rPr lang="en-US"/>
                      <a:t>30%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6996-42E1-8695-5D3E148678B5}"/>
                </c:ext>
              </c:extLst>
            </c:dLbl>
            <c:dLbl>
              <c:idx val="3"/>
              <c:layout>
                <c:manualLayout>
                  <c:x val="1.8422567645365574E-2"/>
                  <c:y val="-9.5011876484560567E-2"/>
                </c:manualLayout>
              </c:layout>
              <c:tx>
                <c:rich>
                  <a:bodyPr/>
                  <a:lstStyle/>
                  <a:p>
                    <a:r>
                      <a:rPr lang="en-US"/>
                      <a:t>40%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6996-42E1-8695-5D3E148678B5}"/>
                </c:ext>
              </c:extLst>
            </c:dLbl>
            <c:dLbl>
              <c:idx val="4"/>
              <c:layout>
                <c:manualLayout>
                  <c:x val="4.8099012715201075E-2"/>
                  <c:y val="-0.10688162397421841"/>
                </c:manualLayout>
              </c:layout>
              <c:tx>
                <c:rich>
                  <a:bodyPr/>
                  <a:lstStyle/>
                  <a:p>
                    <a:r>
                      <a:rPr lang="en-US"/>
                      <a:t>50%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6996-42E1-8695-5D3E148678B5}"/>
                </c:ext>
              </c:extLst>
            </c:dLbl>
            <c:dLbl>
              <c:idx val="5"/>
              <c:layout>
                <c:manualLayout>
                  <c:x val="7.5993091537132906E-2"/>
                  <c:y val="-6.320541760722348E-2"/>
                </c:manualLayout>
              </c:layout>
              <c:tx>
                <c:rich>
                  <a:bodyPr/>
                  <a:lstStyle/>
                  <a:p>
                    <a:r>
                      <a:rPr lang="en-US"/>
                      <a:t>60%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6996-42E1-8695-5D3E148678B5}"/>
                </c:ext>
              </c:extLst>
            </c:dLbl>
            <c:dLbl>
              <c:idx val="6"/>
              <c:layout>
                <c:manualLayout>
                  <c:x val="9.6718480138169263E-2"/>
                  <c:y val="-3.0097817908201655E-2"/>
                </c:manualLayout>
              </c:layout>
              <c:tx>
                <c:rich>
                  <a:bodyPr/>
                  <a:lstStyle/>
                  <a:p>
                    <a:r>
                      <a:rPr lang="en-US"/>
                      <a:t>70%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6996-42E1-8695-5D3E148678B5}"/>
                </c:ext>
              </c:extLst>
            </c:dLbl>
            <c:dLbl>
              <c:idx val="7"/>
              <c:layout>
                <c:manualLayout>
                  <c:x val="9.6718480138169263E-2"/>
                  <c:y val="-1.2039127163280689E-2"/>
                </c:manualLayout>
              </c:layout>
              <c:tx>
                <c:rich>
                  <a:bodyPr/>
                  <a:lstStyle/>
                  <a:p>
                    <a:r>
                      <a:rPr lang="en-US"/>
                      <a:t>80%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6996-42E1-8695-5D3E148678B5}"/>
                </c:ext>
              </c:extLst>
            </c:dLbl>
            <c:dLbl>
              <c:idx val="8"/>
              <c:layout>
                <c:manualLayout>
                  <c:x val="8.9810017271157172E-2"/>
                  <c:y val="2.4078254326561323E-2"/>
                </c:manualLayout>
              </c:layout>
              <c:tx>
                <c:rich>
                  <a:bodyPr/>
                  <a:lstStyle/>
                  <a:p>
                    <a:r>
                      <a:rPr lang="en-US"/>
                      <a:t>90%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6996-42E1-8695-5D3E148678B5}"/>
                </c:ext>
              </c:extLst>
            </c:dLbl>
            <c:dLbl>
              <c:idx val="9"/>
              <c:layout>
                <c:manualLayout>
                  <c:x val="8.0768545875443812E-2"/>
                  <c:y val="4.2161775062898768E-2"/>
                </c:manualLayout>
              </c:layout>
              <c:tx>
                <c:rich>
                  <a:bodyPr/>
                  <a:lstStyle/>
                  <a:p>
                    <a:r>
                      <a:rPr lang="en-US"/>
                      <a:t>100%</a:t>
                    </a:r>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6996-42E1-8695-5D3E148678B5}"/>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6996-42E1-8695-5D3E148678B5}"/>
                </c:ext>
              </c:extLst>
            </c:dLbl>
            <c:spPr>
              <a:noFill/>
              <a:ln>
                <a:noFill/>
              </a:ln>
              <a:effectLst/>
              <a:scene3d>
                <a:camera prst="orthographicFront"/>
                <a:lightRig rig="threePt" dir="t"/>
              </a:scene3d>
              <a:sp3d>
                <a:bevelT w="6350"/>
              </a:sp3d>
            </c:spPr>
            <c:txPr>
              <a:bodyPr wrap="square" lIns="38100" tIns="19050" rIns="38100" bIns="19050" anchor="ctr">
                <a:spAutoFit/>
              </a:bodyPr>
              <a:lstStyle/>
              <a:p>
                <a:pPr>
                  <a:defRPr sz="1800" b="1">
                    <a:solidFill>
                      <a:schemeClr val="tx1"/>
                    </a:solidFill>
                  </a:defRPr>
                </a:pPr>
                <a:endParaRPr lang="es-CO"/>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numRef>
              <c:f>[2]velocimetro!$A$24:$A$34</c:f>
              <c:numCache>
                <c:formatCode>0%</c:formatCode>
                <c:ptCount val="11"/>
                <c:pt idx="0">
                  <c:v>0</c:v>
                </c:pt>
                <c:pt idx="1">
                  <c:v>0.1</c:v>
                </c:pt>
                <c:pt idx="2">
                  <c:v>0.2</c:v>
                </c:pt>
                <c:pt idx="3">
                  <c:v>0.3</c:v>
                </c:pt>
                <c:pt idx="4">
                  <c:v>0.4</c:v>
                </c:pt>
                <c:pt idx="5">
                  <c:v>0.5</c:v>
                </c:pt>
                <c:pt idx="6">
                  <c:v>0.6</c:v>
                </c:pt>
                <c:pt idx="7">
                  <c:v>0.7</c:v>
                </c:pt>
                <c:pt idx="8">
                  <c:v>0.8</c:v>
                </c:pt>
                <c:pt idx="9">
                  <c:v>0.9</c:v>
                </c:pt>
                <c:pt idx="10">
                  <c:v>1</c:v>
                </c:pt>
              </c:numCache>
            </c:numRef>
          </c:cat>
          <c:val>
            <c:numRef>
              <c:f>[3]velocimetro!$B$2:$B$12</c:f>
              <c:numCache>
                <c:formatCode>General</c:formatCode>
                <c:ptCount val="11"/>
                <c:pt idx="0">
                  <c:v>1</c:v>
                </c:pt>
                <c:pt idx="1">
                  <c:v>1</c:v>
                </c:pt>
                <c:pt idx="2">
                  <c:v>1</c:v>
                </c:pt>
                <c:pt idx="3">
                  <c:v>1</c:v>
                </c:pt>
                <c:pt idx="4">
                  <c:v>1</c:v>
                </c:pt>
                <c:pt idx="5">
                  <c:v>1</c:v>
                </c:pt>
                <c:pt idx="6">
                  <c:v>1</c:v>
                </c:pt>
                <c:pt idx="7">
                  <c:v>1</c:v>
                </c:pt>
                <c:pt idx="8">
                  <c:v>1</c:v>
                </c:pt>
                <c:pt idx="9">
                  <c:v>1</c:v>
                </c:pt>
                <c:pt idx="10">
                  <c:v>10</c:v>
                </c:pt>
              </c:numCache>
            </c:numRef>
          </c:val>
          <c:extLst>
            <c:ext xmlns:c16="http://schemas.microsoft.com/office/drawing/2014/chart" uri="{C3380CC4-5D6E-409C-BE32-E72D297353CC}">
              <c16:uniqueId val="{00000016-6996-42E1-8695-5D3E148678B5}"/>
            </c:ext>
          </c:extLst>
        </c:ser>
        <c:dLbls>
          <c:showLegendKey val="0"/>
          <c:showVal val="0"/>
          <c:showCatName val="0"/>
          <c:showSerName val="0"/>
          <c:showPercent val="0"/>
          <c:showBubbleSize val="0"/>
          <c:showLeaderLines val="0"/>
        </c:dLbls>
        <c:firstSliceAng val="270"/>
        <c:holeSize val="70"/>
      </c:doughnutChart>
      <c:pieChart>
        <c:varyColors val="1"/>
        <c:ser>
          <c:idx val="1"/>
          <c:order val="1"/>
          <c:dPt>
            <c:idx val="0"/>
            <c:bubble3D val="0"/>
            <c:spPr>
              <a:noFill/>
            </c:spPr>
            <c:extLst>
              <c:ext xmlns:c16="http://schemas.microsoft.com/office/drawing/2014/chart" uri="{C3380CC4-5D6E-409C-BE32-E72D297353CC}">
                <c16:uniqueId val="{00000018-6996-42E1-8695-5D3E148678B5}"/>
              </c:ext>
            </c:extLst>
          </c:dPt>
          <c:dPt>
            <c:idx val="1"/>
            <c:bubble3D val="0"/>
            <c:spPr>
              <a:solidFill>
                <a:srgbClr val="ED7D31">
                  <a:lumMod val="75000"/>
                </a:srgbClr>
              </a:solidFill>
            </c:spPr>
            <c:extLst>
              <c:ext xmlns:c16="http://schemas.microsoft.com/office/drawing/2014/chart" uri="{C3380CC4-5D6E-409C-BE32-E72D297353CC}">
                <c16:uniqueId val="{0000001A-6996-42E1-8695-5D3E148678B5}"/>
              </c:ext>
            </c:extLst>
          </c:dPt>
          <c:dPt>
            <c:idx val="2"/>
            <c:bubble3D val="0"/>
            <c:spPr>
              <a:noFill/>
            </c:spPr>
            <c:extLst>
              <c:ext xmlns:c16="http://schemas.microsoft.com/office/drawing/2014/chart" uri="{C3380CC4-5D6E-409C-BE32-E72D297353CC}">
                <c16:uniqueId val="{0000001C-6996-42E1-8695-5D3E148678B5}"/>
              </c:ext>
            </c:extLst>
          </c:dPt>
          <c:val>
            <c:numRef>
              <c:f>'FORMULAS%'!$P$57:$P$59</c:f>
              <c:numCache>
                <c:formatCode>0.0%</c:formatCode>
                <c:ptCount val="3"/>
                <c:pt idx="0">
                  <c:v>0.94201989992645419</c:v>
                </c:pt>
                <c:pt idx="1">
                  <c:v>0.03</c:v>
                </c:pt>
                <c:pt idx="2">
                  <c:v>1.0279801000735458</c:v>
                </c:pt>
              </c:numCache>
            </c:numRef>
          </c:val>
          <c:extLst>
            <c:ext xmlns:c16="http://schemas.microsoft.com/office/drawing/2014/chart" uri="{C3380CC4-5D6E-409C-BE32-E72D297353CC}">
              <c16:uniqueId val="{0000001D-6996-42E1-8695-5D3E148678B5}"/>
            </c:ext>
          </c:extLst>
        </c:ser>
        <c:dLbls>
          <c:showLegendKey val="0"/>
          <c:showVal val="0"/>
          <c:showCatName val="0"/>
          <c:showSerName val="0"/>
          <c:showPercent val="0"/>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charts/colors1.xml><?xml version="1.0" encoding="utf-8"?>
<cs:colorStyle xmlns:cs="http://schemas.microsoft.com/office/drawing/2012/chartStyle" xmlns:a="http://schemas.openxmlformats.org/drawingml/2006/main" meth="withinLinearReversed" id="24">
  <a:schemeClr val="accent4"/>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Reversed" id="24">
  <a:schemeClr val="accent4"/>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8" Target="../media/image4.png" Type="http://schemas.openxmlformats.org/officeDocument/2006/relationships/image"/><Relationship Id="rId13" Target="../charts/chart7.xml" Type="http://schemas.openxmlformats.org/officeDocument/2006/relationships/chart"/><Relationship Id="rId3" Target="../charts/chart2.xml" Type="http://schemas.openxmlformats.org/officeDocument/2006/relationships/chart"/><Relationship Id="rId7" Target="../media/image3.png" Type="http://schemas.openxmlformats.org/officeDocument/2006/relationships/image"/><Relationship Id="rId12" Target="../charts/chart6.xml" Type="http://schemas.openxmlformats.org/officeDocument/2006/relationships/chart"/><Relationship Id="rId2" Target="../charts/chart1.xml" Type="http://schemas.openxmlformats.org/officeDocument/2006/relationships/chart"/><Relationship Id="rId1" Target="../media/image1.jpeg" Type="http://schemas.openxmlformats.org/officeDocument/2006/relationships/image"/><Relationship Id="rId6" Target="../media/image2.jpeg" Type="http://schemas.openxmlformats.org/officeDocument/2006/relationships/image"/><Relationship Id="rId11" Target="../charts/chart5.xml" Type="http://schemas.openxmlformats.org/officeDocument/2006/relationships/chart"/><Relationship Id="rId5" Target="../charts/chart4.xml" Type="http://schemas.openxmlformats.org/officeDocument/2006/relationships/chart"/><Relationship Id="rId15" Target="../charts/chart9.xml" Type="http://schemas.openxmlformats.org/officeDocument/2006/relationships/chart"/><Relationship Id="rId10" Target="../media/image6.png" Type="http://schemas.openxmlformats.org/officeDocument/2006/relationships/image"/><Relationship Id="rId4" Target="../charts/chart3.xml" Type="http://schemas.openxmlformats.org/officeDocument/2006/relationships/chart"/><Relationship Id="rId9" Target="../media/image5.png" Type="http://schemas.openxmlformats.org/officeDocument/2006/relationships/image"/><Relationship Id="rId14" Target="../charts/chart8.xml" Type="http://schemas.openxmlformats.org/officeDocument/2006/relationships/chart"/></Relationships>
</file>

<file path=xl/drawings/_rels/drawing13.xml.rels><?xml version="1.0" encoding="UTF-8" standalone="yes" ?><Relationships xmlns="http://schemas.openxmlformats.org/package/2006/relationships"><Relationship Id="rId8" Target="../charts/chart22.xml" Type="http://schemas.openxmlformats.org/officeDocument/2006/relationships/chart"/><Relationship Id="rId13" Target="../media/image5.png" Type="http://schemas.openxmlformats.org/officeDocument/2006/relationships/image"/><Relationship Id="rId3" Target="../charts/chart17.xml" Type="http://schemas.openxmlformats.org/officeDocument/2006/relationships/chart"/><Relationship Id="rId7" Target="../charts/chart21.xml" Type="http://schemas.openxmlformats.org/officeDocument/2006/relationships/chart"/><Relationship Id="rId12" Target="../media/image4.png" Type="http://schemas.openxmlformats.org/officeDocument/2006/relationships/image"/><Relationship Id="rId2" Target="../charts/chart16.xml" Type="http://schemas.openxmlformats.org/officeDocument/2006/relationships/chart"/><Relationship Id="rId1" Target="../media/image1.jpeg" Type="http://schemas.openxmlformats.org/officeDocument/2006/relationships/image"/><Relationship Id="rId6" Target="../charts/chart20.xml" Type="http://schemas.openxmlformats.org/officeDocument/2006/relationships/chart"/><Relationship Id="rId11" Target="../media/image3.png" Type="http://schemas.openxmlformats.org/officeDocument/2006/relationships/image"/><Relationship Id="rId5" Target="../charts/chart19.xml" Type="http://schemas.openxmlformats.org/officeDocument/2006/relationships/chart"/><Relationship Id="rId10" Target="../media/image2.jpeg" Type="http://schemas.openxmlformats.org/officeDocument/2006/relationships/image"/><Relationship Id="rId4" Target="../charts/chart18.xml" Type="http://schemas.openxmlformats.org/officeDocument/2006/relationships/chart"/><Relationship Id="rId9" Target="../charts/chart23.xml" Type="http://schemas.openxmlformats.org/officeDocument/2006/relationships/chart"/><Relationship Id="rId14" Target="../media/image6.png" Type="http://schemas.openxmlformats.org/officeDocument/2006/relationships/image"/></Relationships>
</file>

<file path=xl/drawings/_rels/drawing20.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image" Target="../media/image1.jpeg"/><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xdr:from>
      <xdr:col>1</xdr:col>
      <xdr:colOff>15240</xdr:colOff>
      <xdr:row>7</xdr:row>
      <xdr:rowOff>157555</xdr:rowOff>
    </xdr:from>
    <xdr:to>
      <xdr:col>14</xdr:col>
      <xdr:colOff>15240</xdr:colOff>
      <xdr:row>13</xdr:row>
      <xdr:rowOff>89130</xdr:rowOff>
    </xdr:to>
    <xdr:sp macro="" textlink="">
      <xdr:nvSpPr>
        <xdr:cNvPr id="2" name="Rectángulo 1">
          <a:extLst>
            <a:ext uri="{FF2B5EF4-FFF2-40B4-BE49-F238E27FC236}">
              <a16:creationId xmlns:a16="http://schemas.microsoft.com/office/drawing/2014/main" id="{5EA7F16E-6CD4-440A-9070-AB586D0CD621}"/>
            </a:ext>
          </a:extLst>
        </xdr:cNvPr>
        <xdr:cNvSpPr/>
      </xdr:nvSpPr>
      <xdr:spPr>
        <a:xfrm>
          <a:off x="15240" y="1437715"/>
          <a:ext cx="11308080" cy="1028855"/>
        </a:xfrm>
        <a:prstGeom prst="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a:p>
      </xdr:txBody>
    </xdr:sp>
    <xdr:clientData/>
  </xdr:twoCellAnchor>
  <xdr:twoCellAnchor>
    <xdr:from>
      <xdr:col>1</xdr:col>
      <xdr:colOff>29750</xdr:colOff>
      <xdr:row>0</xdr:row>
      <xdr:rowOff>133746</xdr:rowOff>
    </xdr:from>
    <xdr:to>
      <xdr:col>3</xdr:col>
      <xdr:colOff>381000</xdr:colOff>
      <xdr:row>10</xdr:row>
      <xdr:rowOff>138488</xdr:rowOff>
    </xdr:to>
    <xdr:pic>
      <xdr:nvPicPr>
        <xdr:cNvPr id="5" name="Imagen 4">
          <a:extLst>
            <a:ext uri="{FF2B5EF4-FFF2-40B4-BE49-F238E27FC236}">
              <a16:creationId xmlns:a16="http://schemas.microsoft.com/office/drawing/2014/main" id="{6657E6C2-9E15-4401-ACA2-2340CFD198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00" y="133746"/>
          <a:ext cx="1951450" cy="1909742"/>
        </a:xfrm>
        <a:prstGeom prst="roundRect">
          <a:avLst>
            <a:gd name="adj" fmla="val 4167"/>
          </a:avLst>
        </a:prstGeom>
        <a:solidFill>
          <a:srgbClr val="FFFFFF"/>
        </a:solidFill>
        <a:ln w="76200" cap="sq">
          <a:solidFill>
            <a:srgbClr val="EAEAEA"/>
          </a:solidFill>
          <a:miter lim="800000"/>
        </a:ln>
        <a:effectLst>
          <a:reflection blurRad="12700" stA="33000" endPos="28000" dist="5000" dir="5400000" sy="-100000" algn="bl" rotWithShape="0"/>
        </a:effectLst>
        <a:scene3d>
          <a:camera prst="orthographicFront"/>
          <a:lightRig rig="threePt" dir="t">
            <a:rot lat="0" lon="0" rev="2700000"/>
          </a:lightRig>
        </a:scene3d>
        <a:sp3d contourW="6350">
          <a:bevelT h="38100"/>
          <a:contourClr>
            <a:srgbClr val="C0C0C0"/>
          </a:contourClr>
        </a:sp3d>
      </xdr:spPr>
    </xdr:pic>
    <xdr:clientData/>
  </xdr:twoCellAnchor>
  <xdr:oneCellAnchor>
    <xdr:from>
      <xdr:col>8</xdr:col>
      <xdr:colOff>671227</xdr:colOff>
      <xdr:row>19</xdr:row>
      <xdr:rowOff>132593</xdr:rowOff>
    </xdr:from>
    <xdr:ext cx="3461397" cy="405432"/>
    <xdr:sp macro="" textlink="">
      <xdr:nvSpPr>
        <xdr:cNvPr id="7" name="Rectángulo 6">
          <a:extLst>
            <a:ext uri="{FF2B5EF4-FFF2-40B4-BE49-F238E27FC236}">
              <a16:creationId xmlns:a16="http://schemas.microsoft.com/office/drawing/2014/main" id="{269765F8-DF0E-4ABB-AEFB-4E04B6A746CB}"/>
            </a:ext>
          </a:extLst>
        </xdr:cNvPr>
        <xdr:cNvSpPr/>
      </xdr:nvSpPr>
      <xdr:spPr>
        <a:xfrm>
          <a:off x="8005477" y="3752093"/>
          <a:ext cx="3461397" cy="405432"/>
        </a:xfrm>
        <a:prstGeom prst="rect">
          <a:avLst/>
        </a:prstGeom>
        <a:noFill/>
      </xdr:spPr>
      <xdr:txBody>
        <a:bodyPr wrap="none" lIns="91440" tIns="45720" rIns="91440" bIns="45720">
          <a:spAutoFit/>
        </a:bodyPr>
        <a:lstStyle/>
        <a:p>
          <a:pPr algn="ctr"/>
          <a:r>
            <a:rPr lang="es-ES" sz="2000" b="1" cap="none" spc="0">
              <a:ln w="0"/>
              <a:solidFill>
                <a:schemeClr val="tx1"/>
              </a:solidFill>
              <a:effectLst>
                <a:reflection blurRad="6350" stA="53000" endA="300" endPos="35500" dir="5400000" sy="-90000" algn="bl" rotWithShape="0"/>
              </a:effectLst>
            </a:rPr>
            <a:t>IMPERACTIVOS</a:t>
          </a:r>
          <a:r>
            <a:rPr lang="es-ES" sz="2000" b="1" cap="none" spc="0" baseline="0">
              <a:ln w="0"/>
              <a:solidFill>
                <a:schemeClr val="tx1"/>
              </a:solidFill>
              <a:effectLst>
                <a:reflection blurRad="6350" stA="53000" endA="300" endPos="35500" dir="5400000" sy="-90000" algn="bl" rotWithShape="0"/>
              </a:effectLst>
            </a:rPr>
            <a:t> ESTRATÉGICOS</a:t>
          </a:r>
          <a:endParaRPr lang="es-ES" sz="2000" b="1" cap="none" spc="0">
            <a:ln w="0"/>
            <a:solidFill>
              <a:schemeClr val="tx1"/>
            </a:solidFill>
            <a:effectLst>
              <a:reflection blurRad="6350" stA="53000" endA="300" endPos="35500" dir="5400000" sy="-90000" algn="bl" rotWithShape="0"/>
            </a:effectLst>
          </a:endParaRPr>
        </a:p>
      </xdr:txBody>
    </xdr:sp>
    <xdr:clientData/>
  </xdr:oneCellAnchor>
  <xdr:oneCellAnchor>
    <xdr:from>
      <xdr:col>3</xdr:col>
      <xdr:colOff>787861</xdr:colOff>
      <xdr:row>14</xdr:row>
      <xdr:rowOff>88212</xdr:rowOff>
    </xdr:from>
    <xdr:ext cx="5551979" cy="582348"/>
    <xdr:sp macro="" textlink="" fLocksText="0">
      <xdr:nvSpPr>
        <xdr:cNvPr id="8" name="Rectángulo 7">
          <a:extLst>
            <a:ext uri="{FF2B5EF4-FFF2-40B4-BE49-F238E27FC236}">
              <a16:creationId xmlns:a16="http://schemas.microsoft.com/office/drawing/2014/main" id="{52D0037A-2C98-4ABC-860B-9D53C6D24478}"/>
            </a:ext>
          </a:extLst>
        </xdr:cNvPr>
        <xdr:cNvSpPr/>
      </xdr:nvSpPr>
      <xdr:spPr>
        <a:xfrm>
          <a:off x="2372821" y="2648532"/>
          <a:ext cx="5551979" cy="582348"/>
        </a:xfrm>
        <a:prstGeom prst="rect">
          <a:avLst/>
        </a:prstGeom>
        <a:gradFill flip="none" rotWithShape="1">
          <a:gsLst>
            <a:gs pos="0">
              <a:schemeClr val="tx2">
                <a:lumMod val="75000"/>
                <a:shade val="30000"/>
                <a:satMod val="115000"/>
              </a:schemeClr>
            </a:gs>
            <a:gs pos="50000">
              <a:schemeClr val="tx2">
                <a:lumMod val="75000"/>
                <a:shade val="67500"/>
                <a:satMod val="115000"/>
              </a:schemeClr>
            </a:gs>
            <a:gs pos="100000">
              <a:schemeClr val="tx2">
                <a:lumMod val="75000"/>
                <a:shade val="100000"/>
                <a:satMod val="115000"/>
              </a:schemeClr>
            </a:gs>
          </a:gsLst>
          <a:lin ang="5400000" scaled="1"/>
          <a:tileRect/>
        </a:gradFill>
        <a:ln>
          <a:noFill/>
        </a:ln>
        <a:effectLst>
          <a:innerShdw blurRad="114300">
            <a:prstClr val="black"/>
          </a:innerShdw>
        </a:effectLst>
        <a:scene3d>
          <a:camera prst="orthographicFront"/>
          <a:lightRig rig="harsh" dir="t"/>
        </a:scene3d>
        <a:sp3d extrusionH="76200" contourW="12700">
          <a:bevelT/>
          <a:bevelB prst="relaxedInset"/>
          <a:extrusionClr>
            <a:schemeClr val="accent1">
              <a:lumMod val="40000"/>
              <a:lumOff val="60000"/>
            </a:schemeClr>
          </a:extrusionClr>
          <a:contourClr>
            <a:schemeClr val="accent1">
              <a:lumMod val="20000"/>
              <a:lumOff val="80000"/>
            </a:schemeClr>
          </a:contourClr>
        </a:sp3d>
      </xdr:spPr>
      <xdr:txBody>
        <a:bodyPr wrap="square" lIns="91440" tIns="45720" rIns="91440" bIns="45720">
          <a:noAutofit/>
        </a:bodyPr>
        <a:lstStyle/>
        <a:p>
          <a:pPr marL="0" indent="0" algn="ctr"/>
          <a:r>
            <a:rPr lang="es-ES" sz="2400" b="1" cap="none" spc="0">
              <a:ln w="0"/>
              <a:solidFill>
                <a:schemeClr val="bg1"/>
              </a:solidFill>
              <a:effectLst>
                <a:outerShdw blurRad="38100" dist="25400" dir="5400000" algn="ctr" rotWithShape="0">
                  <a:srgbClr val="6E747A">
                    <a:alpha val="43000"/>
                  </a:srgbClr>
                </a:outerShdw>
              </a:effectLst>
              <a:latin typeface="+mn-lt"/>
              <a:ea typeface="+mn-ea"/>
              <a:cs typeface="+mn-cs"/>
            </a:rPr>
            <a:t>DESEMPEÑO INSTITUCIONAL 2020</a:t>
          </a:r>
          <a:r>
            <a:rPr lang="es-ES" sz="2400" b="1" cap="none" spc="0" baseline="0">
              <a:ln w="0"/>
              <a:solidFill>
                <a:schemeClr val="bg1"/>
              </a:solidFill>
              <a:effectLst>
                <a:outerShdw blurRad="38100" dist="25400" dir="5400000" algn="ctr" rotWithShape="0">
                  <a:srgbClr val="6E747A">
                    <a:alpha val="43000"/>
                  </a:srgbClr>
                </a:outerShdw>
              </a:effectLst>
              <a:latin typeface="+mn-lt"/>
              <a:ea typeface="+mn-ea"/>
              <a:cs typeface="+mn-cs"/>
            </a:rPr>
            <a:t> -2024</a:t>
          </a:r>
          <a:endParaRPr lang="es-ES" sz="2400" b="1" cap="none" spc="0">
            <a:ln w="0"/>
            <a:solidFill>
              <a:schemeClr val="bg1"/>
            </a:solidFill>
            <a:effectLst>
              <a:outerShdw blurRad="38100" dist="25400" dir="5400000" algn="ctr" rotWithShape="0">
                <a:srgbClr val="6E747A">
                  <a:alpha val="43000"/>
                </a:srgbClr>
              </a:outerShdw>
            </a:effectLst>
            <a:latin typeface="+mn-lt"/>
            <a:ea typeface="+mn-ea"/>
            <a:cs typeface="+mn-cs"/>
          </a:endParaRPr>
        </a:p>
      </xdr:txBody>
    </xdr:sp>
    <xdr:clientData/>
  </xdr:oneCellAnchor>
  <xdr:twoCellAnchor>
    <xdr:from>
      <xdr:col>14</xdr:col>
      <xdr:colOff>15240</xdr:colOff>
      <xdr:row>7</xdr:row>
      <xdr:rowOff>157555</xdr:rowOff>
    </xdr:from>
    <xdr:to>
      <xdr:col>32</xdr:col>
      <xdr:colOff>15240</xdr:colOff>
      <xdr:row>13</xdr:row>
      <xdr:rowOff>89130</xdr:rowOff>
    </xdr:to>
    <xdr:sp macro="" textlink="">
      <xdr:nvSpPr>
        <xdr:cNvPr id="10" name="Rectángulo 9">
          <a:extLst>
            <a:ext uri="{FF2B5EF4-FFF2-40B4-BE49-F238E27FC236}">
              <a16:creationId xmlns:a16="http://schemas.microsoft.com/office/drawing/2014/main" id="{F5A03B3F-CC66-4BEF-923E-DDDD14A457F8}"/>
            </a:ext>
          </a:extLst>
        </xdr:cNvPr>
        <xdr:cNvSpPr/>
      </xdr:nvSpPr>
      <xdr:spPr>
        <a:xfrm>
          <a:off x="13045440" y="1491055"/>
          <a:ext cx="24288750" cy="1074575"/>
        </a:xfrm>
        <a:prstGeom prst="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a:p>
      </xdr:txBody>
    </xdr:sp>
    <xdr:clientData/>
  </xdr:twoCellAnchor>
  <xdr:oneCellAnchor>
    <xdr:from>
      <xdr:col>13</xdr:col>
      <xdr:colOff>271780</xdr:colOff>
      <xdr:row>7</xdr:row>
      <xdr:rowOff>100330</xdr:rowOff>
    </xdr:from>
    <xdr:ext cx="15101570" cy="937629"/>
    <xdr:sp macro="" textlink="">
      <xdr:nvSpPr>
        <xdr:cNvPr id="11" name="Rectángulo 10">
          <a:extLst>
            <a:ext uri="{FF2B5EF4-FFF2-40B4-BE49-F238E27FC236}">
              <a16:creationId xmlns:a16="http://schemas.microsoft.com/office/drawing/2014/main" id="{18ACC0C3-A230-427B-AC21-35171FF40896}"/>
            </a:ext>
          </a:extLst>
        </xdr:cNvPr>
        <xdr:cNvSpPr/>
      </xdr:nvSpPr>
      <xdr:spPr>
        <a:xfrm>
          <a:off x="12254230" y="1433830"/>
          <a:ext cx="15101570" cy="937629"/>
        </a:xfrm>
        <a:prstGeom prst="rect">
          <a:avLst/>
        </a:prstGeom>
        <a:noFill/>
      </xdr:spPr>
      <xdr:txBody>
        <a:bodyPr wrap="square" lIns="91440" tIns="45720" rIns="91440" bIns="45720">
          <a:spAutoFit/>
        </a:bodyPr>
        <a:lstStyle/>
        <a:p>
          <a:pPr algn="ctr"/>
          <a:r>
            <a:rPr lang="es-ES" sz="5400" b="1" cap="none" spc="0">
              <a:ln w="0"/>
              <a:solidFill>
                <a:schemeClr val="accent4">
                  <a:lumMod val="40000"/>
                  <a:lumOff val="60000"/>
                </a:schemeClr>
              </a:solidFill>
              <a:effectLst>
                <a:reflection blurRad="6350" stA="53000" endA="300" endPos="35500" dir="5400000" sy="-90000" algn="bl" rotWithShape="0"/>
              </a:effectLst>
            </a:rPr>
            <a:t>SEGUIMIENTO A LA GESTIÓN AGOSTO</a:t>
          </a:r>
          <a:r>
            <a:rPr lang="es-ES" sz="5400" b="1" cap="none" spc="0" baseline="0">
              <a:ln w="0"/>
              <a:solidFill>
                <a:schemeClr val="accent4">
                  <a:lumMod val="40000"/>
                  <a:lumOff val="60000"/>
                </a:schemeClr>
              </a:solidFill>
              <a:effectLst>
                <a:reflection blurRad="6350" stA="53000" endA="300" endPos="35500" dir="5400000" sy="-90000" algn="bl" rotWithShape="0"/>
              </a:effectLst>
            </a:rPr>
            <a:t> 2023</a:t>
          </a:r>
          <a:endParaRPr lang="es-ES" sz="5400" b="1" cap="none" spc="0">
            <a:ln w="0"/>
            <a:solidFill>
              <a:schemeClr val="accent4">
                <a:lumMod val="40000"/>
                <a:lumOff val="60000"/>
              </a:schemeClr>
            </a:solidFill>
            <a:effectLst>
              <a:reflection blurRad="6350" stA="53000" endA="300" endPos="35500" dir="5400000" sy="-90000" algn="bl" rotWithShape="0"/>
            </a:effectLst>
          </a:endParaRPr>
        </a:p>
      </xdr:txBody>
    </xdr:sp>
    <xdr:clientData/>
  </xdr:oneCellAnchor>
  <xdr:twoCellAnchor>
    <xdr:from>
      <xdr:col>8</xdr:col>
      <xdr:colOff>350520</xdr:colOff>
      <xdr:row>22</xdr:row>
      <xdr:rowOff>137160</xdr:rowOff>
    </xdr:from>
    <xdr:to>
      <xdr:col>13</xdr:col>
      <xdr:colOff>628650</xdr:colOff>
      <xdr:row>24</xdr:row>
      <xdr:rowOff>426720</xdr:rowOff>
    </xdr:to>
    <xdr:sp macro="" textlink="">
      <xdr:nvSpPr>
        <xdr:cNvPr id="12" name="Rectángulo redondeado 4">
          <a:extLst>
            <a:ext uri="{FF2B5EF4-FFF2-40B4-BE49-F238E27FC236}">
              <a16:creationId xmlns:a16="http://schemas.microsoft.com/office/drawing/2014/main" id="{9A21F143-CAEF-4F95-AF38-CC94FEEBDCF6}"/>
            </a:ext>
          </a:extLst>
        </xdr:cNvPr>
        <xdr:cNvSpPr/>
      </xdr:nvSpPr>
      <xdr:spPr>
        <a:xfrm>
          <a:off x="6998970" y="4328160"/>
          <a:ext cx="4278630" cy="670560"/>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i="0" u="none" strike="noStrike">
              <a:solidFill>
                <a:schemeClr val="tx1"/>
              </a:solidFill>
              <a:effectLst/>
              <a:latin typeface="Franklin Gothic Book" panose="020B0503020102020204" pitchFamily="34" charset="0"/>
              <a:ea typeface="+mn-ea"/>
              <a:cs typeface="+mn-cs"/>
            </a:rPr>
            <a:t>MODERNIZACIÓN DE SISTEMAS DE INFORMACIÓN  </a:t>
          </a:r>
        </a:p>
      </xdr:txBody>
    </xdr:sp>
    <xdr:clientData/>
  </xdr:twoCellAnchor>
  <xdr:twoCellAnchor>
    <xdr:from>
      <xdr:col>8</xdr:col>
      <xdr:colOff>259080</xdr:colOff>
      <xdr:row>26</xdr:row>
      <xdr:rowOff>274321</xdr:rowOff>
    </xdr:from>
    <xdr:to>
      <xdr:col>13</xdr:col>
      <xdr:colOff>571500</xdr:colOff>
      <xdr:row>28</xdr:row>
      <xdr:rowOff>95250</xdr:rowOff>
    </xdr:to>
    <xdr:sp macro="" textlink="">
      <xdr:nvSpPr>
        <xdr:cNvPr id="13" name="Rectángulo redondeado 7">
          <a:extLst>
            <a:ext uri="{FF2B5EF4-FFF2-40B4-BE49-F238E27FC236}">
              <a16:creationId xmlns:a16="http://schemas.microsoft.com/office/drawing/2014/main" id="{C876F237-DC85-42AD-B692-E7F1560CE22B}"/>
            </a:ext>
          </a:extLst>
        </xdr:cNvPr>
        <xdr:cNvSpPr/>
      </xdr:nvSpPr>
      <xdr:spPr>
        <a:xfrm>
          <a:off x="6907530" y="5951221"/>
          <a:ext cx="4312920" cy="56387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softEdge rad="1270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OPTIMIZACIÓN DE PROCESOS</a:t>
          </a:r>
        </a:p>
      </xdr:txBody>
    </xdr:sp>
    <xdr:clientData/>
  </xdr:twoCellAnchor>
  <xdr:twoCellAnchor>
    <xdr:from>
      <xdr:col>8</xdr:col>
      <xdr:colOff>472440</xdr:colOff>
      <xdr:row>32</xdr:row>
      <xdr:rowOff>228601</xdr:rowOff>
    </xdr:from>
    <xdr:to>
      <xdr:col>13</xdr:col>
      <xdr:colOff>571500</xdr:colOff>
      <xdr:row>33</xdr:row>
      <xdr:rowOff>182880</xdr:rowOff>
    </xdr:to>
    <xdr:sp macro="" textlink="">
      <xdr:nvSpPr>
        <xdr:cNvPr id="14" name="Rectángulo redondeado 9">
          <a:extLst>
            <a:ext uri="{FF2B5EF4-FFF2-40B4-BE49-F238E27FC236}">
              <a16:creationId xmlns:a16="http://schemas.microsoft.com/office/drawing/2014/main" id="{A46B8EB5-421C-4612-AEA6-78444A5AF226}"/>
            </a:ext>
          </a:extLst>
        </xdr:cNvPr>
        <xdr:cNvSpPr/>
      </xdr:nvSpPr>
      <xdr:spPr>
        <a:xfrm>
          <a:off x="7120890" y="7753351"/>
          <a:ext cx="4099560" cy="64007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softEdge rad="63500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POSICIONAMIENTO COMO ENTE RECTOR</a:t>
          </a:r>
        </a:p>
      </xdr:txBody>
    </xdr:sp>
    <xdr:clientData/>
  </xdr:twoCellAnchor>
  <xdr:twoCellAnchor>
    <xdr:from>
      <xdr:col>8</xdr:col>
      <xdr:colOff>472440</xdr:colOff>
      <xdr:row>33</xdr:row>
      <xdr:rowOff>1264921</xdr:rowOff>
    </xdr:from>
    <xdr:to>
      <xdr:col>13</xdr:col>
      <xdr:colOff>476250</xdr:colOff>
      <xdr:row>34</xdr:row>
      <xdr:rowOff>320040</xdr:rowOff>
    </xdr:to>
    <xdr:sp macro="" textlink="">
      <xdr:nvSpPr>
        <xdr:cNvPr id="15" name="Rectángulo redondeado 11">
          <a:extLst>
            <a:ext uri="{FF2B5EF4-FFF2-40B4-BE49-F238E27FC236}">
              <a16:creationId xmlns:a16="http://schemas.microsoft.com/office/drawing/2014/main" id="{15C98878-AD0F-4B5E-B5BB-E99B2846C84D}"/>
            </a:ext>
          </a:extLst>
        </xdr:cNvPr>
        <xdr:cNvSpPr/>
      </xdr:nvSpPr>
      <xdr:spPr>
        <a:xfrm>
          <a:off x="7120890" y="9475471"/>
          <a:ext cx="4004310" cy="63626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 RESPALDO JURÍDICO QUE GENERA CONFIANZA. </a:t>
          </a:r>
        </a:p>
      </xdr:txBody>
    </xdr:sp>
    <xdr:clientData/>
  </xdr:twoCellAnchor>
  <xdr:oneCellAnchor>
    <xdr:from>
      <xdr:col>9</xdr:col>
      <xdr:colOff>609600</xdr:colOff>
      <xdr:row>24</xdr:row>
      <xdr:rowOff>472440</xdr:rowOff>
    </xdr:from>
    <xdr:ext cx="1863728" cy="796927"/>
    <xdr:sp macro="" textlink="'FORMULAS%'!G26">
      <xdr:nvSpPr>
        <xdr:cNvPr id="16" name="CuadroTexto 15">
          <a:extLst>
            <a:ext uri="{FF2B5EF4-FFF2-40B4-BE49-F238E27FC236}">
              <a16:creationId xmlns:a16="http://schemas.microsoft.com/office/drawing/2014/main" id="{253AE15C-0821-4C44-9BD1-1803FDDC2E1F}"/>
            </a:ext>
          </a:extLst>
        </xdr:cNvPr>
        <xdr:cNvSpPr txBox="1"/>
      </xdr:nvSpPr>
      <xdr:spPr>
        <a:xfrm>
          <a:off x="7955280" y="4861560"/>
          <a:ext cx="186372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5E6104BB-698A-4370-BEF1-765D45D40F6A}" type="TxLink">
            <a:rPr lang="en-US" sz="4800" b="1" i="0" u="none" strike="noStrike">
              <a:solidFill>
                <a:schemeClr val="tx1"/>
              </a:solidFill>
              <a:latin typeface="Calibri"/>
              <a:ea typeface="+mn-ea"/>
              <a:cs typeface="Calibri"/>
            </a:rPr>
            <a:pPr marL="0" indent="0" algn="ctr"/>
            <a:t>79,7%</a:t>
          </a:fld>
          <a:endParaRPr lang="es-CO" sz="4800" b="1" i="0" u="none" strike="noStrike">
            <a:solidFill>
              <a:schemeClr val="tx1"/>
            </a:solidFill>
            <a:latin typeface="Arial Narrow" panose="020B0606020202030204" pitchFamily="34" charset="0"/>
            <a:ea typeface="+mn-ea"/>
            <a:cs typeface="Calibri"/>
          </a:endParaRPr>
        </a:p>
      </xdr:txBody>
    </xdr:sp>
    <xdr:clientData/>
  </xdr:oneCellAnchor>
  <xdr:oneCellAnchor>
    <xdr:from>
      <xdr:col>9</xdr:col>
      <xdr:colOff>640080</xdr:colOff>
      <xdr:row>28</xdr:row>
      <xdr:rowOff>320040</xdr:rowOff>
    </xdr:from>
    <xdr:ext cx="1921608" cy="796927"/>
    <xdr:sp macro="" textlink="'FORMULAS%'!G24">
      <xdr:nvSpPr>
        <xdr:cNvPr id="17" name="CuadroTexto 16">
          <a:extLst>
            <a:ext uri="{FF2B5EF4-FFF2-40B4-BE49-F238E27FC236}">
              <a16:creationId xmlns:a16="http://schemas.microsoft.com/office/drawing/2014/main" id="{95C6989A-BD78-4A10-8713-799DE62BB0CB}"/>
            </a:ext>
          </a:extLst>
        </xdr:cNvPr>
        <xdr:cNvSpPr txBox="1"/>
      </xdr:nvSpPr>
      <xdr:spPr>
        <a:xfrm>
          <a:off x="7985760" y="653796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16F7D29F-6F0A-4D50-A2B4-CDED2F7B091F}" type="TxLink">
            <a:rPr lang="en-US" sz="4800" b="1" i="0" u="none" strike="noStrike">
              <a:solidFill>
                <a:schemeClr val="tx1"/>
              </a:solidFill>
              <a:latin typeface="Calibri"/>
              <a:ea typeface="+mn-ea"/>
              <a:cs typeface="Calibri"/>
            </a:rPr>
            <a:pPr marL="0" indent="0" algn="ctr"/>
            <a:t>94,6%</a:t>
          </a:fld>
          <a:endParaRPr lang="es-CO" sz="4800" b="1" i="0" u="none" strike="noStrike">
            <a:solidFill>
              <a:schemeClr val="tx1"/>
            </a:solidFill>
            <a:latin typeface="Arial Narrow" panose="020B0606020202030204" pitchFamily="34" charset="0"/>
            <a:ea typeface="+mn-ea"/>
            <a:cs typeface="Calibri"/>
          </a:endParaRPr>
        </a:p>
      </xdr:txBody>
    </xdr:sp>
    <xdr:clientData/>
  </xdr:oneCellAnchor>
  <xdr:oneCellAnchor>
    <xdr:from>
      <xdr:col>9</xdr:col>
      <xdr:colOff>655320</xdr:colOff>
      <xdr:row>33</xdr:row>
      <xdr:rowOff>289560</xdr:rowOff>
    </xdr:from>
    <xdr:ext cx="1921608" cy="796927"/>
    <xdr:sp macro="" textlink="'FORMULAS%'!G23">
      <xdr:nvSpPr>
        <xdr:cNvPr id="20" name="CuadroTexto 19">
          <a:extLst>
            <a:ext uri="{FF2B5EF4-FFF2-40B4-BE49-F238E27FC236}">
              <a16:creationId xmlns:a16="http://schemas.microsoft.com/office/drawing/2014/main" id="{BFAAAFB2-FE1C-4CAA-BBBB-AC964A1D97B9}"/>
            </a:ext>
          </a:extLst>
        </xdr:cNvPr>
        <xdr:cNvSpPr txBox="1"/>
      </xdr:nvSpPr>
      <xdr:spPr>
        <a:xfrm>
          <a:off x="8001000" y="827532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E391B06B-94EE-486A-9829-4F271FDA2A75}" type="TxLink">
            <a:rPr lang="en-US" sz="4800" b="1" i="0" u="none" strike="noStrike">
              <a:solidFill>
                <a:schemeClr val="tx1"/>
              </a:solidFill>
              <a:latin typeface="Calibri"/>
              <a:ea typeface="+mn-ea"/>
              <a:cs typeface="Calibri"/>
            </a:rPr>
            <a:pPr marL="0" indent="0" algn="ctr"/>
            <a:t>86,0%</a:t>
          </a:fld>
          <a:endParaRPr lang="es-CO" sz="4800" b="1" i="0" u="none" strike="noStrike">
            <a:solidFill>
              <a:schemeClr val="tx1"/>
            </a:solidFill>
            <a:latin typeface="Arial Narrow" panose="020B0606020202030204" pitchFamily="34" charset="0"/>
            <a:ea typeface="+mn-ea"/>
            <a:cs typeface="Calibri"/>
          </a:endParaRPr>
        </a:p>
      </xdr:txBody>
    </xdr:sp>
    <xdr:clientData/>
  </xdr:oneCellAnchor>
  <xdr:oneCellAnchor>
    <xdr:from>
      <xdr:col>9</xdr:col>
      <xdr:colOff>762000</xdr:colOff>
      <xdr:row>34</xdr:row>
      <xdr:rowOff>487680</xdr:rowOff>
    </xdr:from>
    <xdr:ext cx="1921608" cy="796927"/>
    <xdr:sp macro="" textlink="'FORMULAS%'!G25">
      <xdr:nvSpPr>
        <xdr:cNvPr id="21" name="CuadroTexto 20">
          <a:extLst>
            <a:ext uri="{FF2B5EF4-FFF2-40B4-BE49-F238E27FC236}">
              <a16:creationId xmlns:a16="http://schemas.microsoft.com/office/drawing/2014/main" id="{BF9B9337-9041-41DA-A542-8833CCB5641A}"/>
            </a:ext>
          </a:extLst>
        </xdr:cNvPr>
        <xdr:cNvSpPr txBox="1"/>
      </xdr:nvSpPr>
      <xdr:spPr>
        <a:xfrm>
          <a:off x="8813800" y="993648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EB76ADD5-D618-4160-B7DF-5D210D790E3B}" type="TxLink">
            <a:rPr lang="en-US" sz="4800" b="1" i="0" u="none" strike="noStrike">
              <a:solidFill>
                <a:schemeClr val="tx1"/>
              </a:solidFill>
              <a:latin typeface="Calibri"/>
              <a:ea typeface="+mn-ea"/>
              <a:cs typeface="Calibri"/>
            </a:rPr>
            <a:pPr marL="0" indent="0" algn="ctr"/>
            <a:t>97,2%</a:t>
          </a:fld>
          <a:endParaRPr lang="es-CO" sz="4800" b="1" i="0" u="none" strike="noStrike">
            <a:solidFill>
              <a:schemeClr val="tx1"/>
            </a:solidFill>
            <a:latin typeface="Arial Narrow" panose="020B0606020202030204" pitchFamily="34" charset="0"/>
            <a:ea typeface="+mn-ea"/>
            <a:cs typeface="Calibri"/>
          </a:endParaRPr>
        </a:p>
      </xdr:txBody>
    </xdr:sp>
    <xdr:clientData/>
  </xdr:oneCellAnchor>
  <xdr:oneCellAnchor>
    <xdr:from>
      <xdr:col>17</xdr:col>
      <xdr:colOff>320040</xdr:colOff>
      <xdr:row>14</xdr:row>
      <xdr:rowOff>118110</xdr:rowOff>
    </xdr:from>
    <xdr:ext cx="6633315" cy="624840"/>
    <xdr:sp macro="" textlink="" fLocksText="0">
      <xdr:nvSpPr>
        <xdr:cNvPr id="23" name="Rectángulo 22">
          <a:extLst>
            <a:ext uri="{FF2B5EF4-FFF2-40B4-BE49-F238E27FC236}">
              <a16:creationId xmlns:a16="http://schemas.microsoft.com/office/drawing/2014/main" id="{79A8415A-01F1-4685-983C-42DC40E7BF5F}"/>
            </a:ext>
          </a:extLst>
        </xdr:cNvPr>
        <xdr:cNvSpPr/>
      </xdr:nvSpPr>
      <xdr:spPr>
        <a:xfrm>
          <a:off x="14417040" y="2785110"/>
          <a:ext cx="6633315" cy="624840"/>
        </a:xfrm>
        <a:prstGeom prst="rect">
          <a:avLst/>
        </a:prstGeom>
        <a:gradFill flip="none" rotWithShape="1">
          <a:gsLst>
            <a:gs pos="0">
              <a:schemeClr val="tx2">
                <a:lumMod val="75000"/>
                <a:shade val="30000"/>
                <a:satMod val="115000"/>
              </a:schemeClr>
            </a:gs>
            <a:gs pos="70000">
              <a:schemeClr val="tx2">
                <a:lumMod val="75000"/>
                <a:shade val="67500"/>
                <a:satMod val="115000"/>
              </a:schemeClr>
            </a:gs>
            <a:gs pos="94000">
              <a:schemeClr val="accent1">
                <a:lumMod val="50000"/>
              </a:schemeClr>
            </a:gs>
          </a:gsLst>
          <a:lin ang="5400000" scaled="1"/>
          <a:tileRect/>
        </a:gradFill>
        <a:ln>
          <a:noFill/>
        </a:ln>
        <a:effectLst>
          <a:innerShdw blurRad="114300">
            <a:schemeClr val="tx1"/>
          </a:innerShdw>
        </a:effectLst>
        <a:scene3d>
          <a:camera prst="orthographicFront"/>
          <a:lightRig rig="harsh" dir="t"/>
        </a:scene3d>
        <a:sp3d extrusionH="76200" contourW="12700">
          <a:bevelT/>
          <a:bevelB prst="relaxedInset"/>
          <a:extrusionClr>
            <a:schemeClr val="accent1">
              <a:lumMod val="40000"/>
              <a:lumOff val="60000"/>
            </a:schemeClr>
          </a:extrusionClr>
          <a:contourClr>
            <a:schemeClr val="accent1">
              <a:lumMod val="20000"/>
              <a:lumOff val="80000"/>
            </a:schemeClr>
          </a:contourClr>
        </a:sp3d>
      </xdr:spPr>
      <xdr:txBody>
        <a:bodyPr wrap="square" lIns="91440" tIns="45720" rIns="91440" bIns="45720">
          <a:noAutofit/>
        </a:bodyPr>
        <a:lstStyle/>
        <a:p>
          <a:pPr marL="0" indent="0" algn="ctr"/>
          <a:r>
            <a:rPr lang="es-ES" sz="2400" b="1" cap="none" spc="0">
              <a:ln w="0"/>
              <a:solidFill>
                <a:schemeClr val="bg1"/>
              </a:solidFill>
              <a:effectLst>
                <a:outerShdw blurRad="38100" dist="25400" dir="5400000" algn="ctr" rotWithShape="0">
                  <a:srgbClr val="6E747A">
                    <a:alpha val="43000"/>
                  </a:srgbClr>
                </a:outerShdw>
              </a:effectLst>
              <a:latin typeface="+mn-lt"/>
              <a:ea typeface="+mn-ea"/>
              <a:cs typeface="+mn-cs"/>
            </a:rPr>
            <a:t>DESEMPEÑO</a:t>
          </a:r>
          <a:r>
            <a:rPr lang="es-ES" sz="2400" b="1" cap="none" spc="0" baseline="0">
              <a:ln w="0"/>
              <a:solidFill>
                <a:schemeClr val="bg1"/>
              </a:solidFill>
              <a:effectLst>
                <a:outerShdw blurRad="38100" dist="25400" dir="5400000" algn="ctr" rotWithShape="0">
                  <a:srgbClr val="6E747A">
                    <a:alpha val="43000"/>
                  </a:srgbClr>
                </a:outerShdw>
              </a:effectLst>
              <a:latin typeface="+mn-lt"/>
              <a:ea typeface="+mn-ea"/>
              <a:cs typeface="+mn-cs"/>
            </a:rPr>
            <a:t> INSTITUCIONAL VIGENCIA 2023</a:t>
          </a:r>
          <a:endParaRPr lang="es-ES" sz="2400" b="1" cap="none" spc="0">
            <a:ln w="0"/>
            <a:solidFill>
              <a:schemeClr val="bg1"/>
            </a:solidFill>
            <a:effectLst>
              <a:outerShdw blurRad="38100" dist="25400" dir="5400000" algn="ctr" rotWithShape="0">
                <a:srgbClr val="6E747A">
                  <a:alpha val="43000"/>
                </a:srgbClr>
              </a:outerShdw>
            </a:effectLst>
            <a:latin typeface="+mn-lt"/>
            <a:ea typeface="+mn-ea"/>
            <a:cs typeface="+mn-cs"/>
          </a:endParaRPr>
        </a:p>
      </xdr:txBody>
    </xdr:sp>
    <xdr:clientData/>
  </xdr:oneCellAnchor>
  <xdr:twoCellAnchor>
    <xdr:from>
      <xdr:col>14</xdr:col>
      <xdr:colOff>57150</xdr:colOff>
      <xdr:row>13</xdr:row>
      <xdr:rowOff>114300</xdr:rowOff>
    </xdr:from>
    <xdr:to>
      <xdr:col>14</xdr:col>
      <xdr:colOff>308610</xdr:colOff>
      <xdr:row>39</xdr:row>
      <xdr:rowOff>114300</xdr:rowOff>
    </xdr:to>
    <xdr:sp macro="" textlink="">
      <xdr:nvSpPr>
        <xdr:cNvPr id="25" name="Rectángulo 24">
          <a:extLst>
            <a:ext uri="{FF2B5EF4-FFF2-40B4-BE49-F238E27FC236}">
              <a16:creationId xmlns:a16="http://schemas.microsoft.com/office/drawing/2014/main" id="{72D790C3-4DFB-4CE3-AE75-74AE94ED7930}"/>
            </a:ext>
          </a:extLst>
        </xdr:cNvPr>
        <xdr:cNvSpPr/>
      </xdr:nvSpPr>
      <xdr:spPr>
        <a:xfrm>
          <a:off x="11753850" y="2590800"/>
          <a:ext cx="251460" cy="9220200"/>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oneCellAnchor>
    <xdr:from>
      <xdr:col>22</xdr:col>
      <xdr:colOff>587407</xdr:colOff>
      <xdr:row>20</xdr:row>
      <xdr:rowOff>22103</xdr:rowOff>
    </xdr:from>
    <xdr:ext cx="3461397" cy="405432"/>
    <xdr:sp macro="" textlink="">
      <xdr:nvSpPr>
        <xdr:cNvPr id="26" name="Rectángulo 25">
          <a:extLst>
            <a:ext uri="{FF2B5EF4-FFF2-40B4-BE49-F238E27FC236}">
              <a16:creationId xmlns:a16="http://schemas.microsoft.com/office/drawing/2014/main" id="{3D345939-09B4-48D3-BEF0-FB41CCBDC0DE}"/>
            </a:ext>
          </a:extLst>
        </xdr:cNvPr>
        <xdr:cNvSpPr/>
      </xdr:nvSpPr>
      <xdr:spPr>
        <a:xfrm>
          <a:off x="18684907" y="3832103"/>
          <a:ext cx="3461397" cy="405432"/>
        </a:xfrm>
        <a:prstGeom prst="rect">
          <a:avLst/>
        </a:prstGeom>
        <a:noFill/>
      </xdr:spPr>
      <xdr:txBody>
        <a:bodyPr wrap="none" lIns="91440" tIns="45720" rIns="91440" bIns="45720">
          <a:spAutoFit/>
        </a:bodyPr>
        <a:lstStyle/>
        <a:p>
          <a:pPr algn="ctr"/>
          <a:r>
            <a:rPr lang="es-ES" sz="2000" b="1" cap="none" spc="0">
              <a:ln w="0"/>
              <a:solidFill>
                <a:schemeClr val="tx1"/>
              </a:solidFill>
              <a:effectLst>
                <a:reflection blurRad="6350" stA="53000" endA="300" endPos="35500" dir="5400000" sy="-90000" algn="bl" rotWithShape="0"/>
              </a:effectLst>
            </a:rPr>
            <a:t>IMPERACTIVOS</a:t>
          </a:r>
          <a:r>
            <a:rPr lang="es-ES" sz="2000" b="1" cap="none" spc="0" baseline="0">
              <a:ln w="0"/>
              <a:solidFill>
                <a:schemeClr val="tx1"/>
              </a:solidFill>
              <a:effectLst>
                <a:reflection blurRad="6350" stA="53000" endA="300" endPos="35500" dir="5400000" sy="-90000" algn="bl" rotWithShape="0"/>
              </a:effectLst>
            </a:rPr>
            <a:t> ESTRATÉGICOS</a:t>
          </a:r>
          <a:endParaRPr lang="es-ES" sz="2000" b="1" cap="none" spc="0">
            <a:ln w="0"/>
            <a:solidFill>
              <a:schemeClr val="tx1"/>
            </a:solidFill>
            <a:effectLst>
              <a:reflection blurRad="6350" stA="53000" endA="300" endPos="35500" dir="5400000" sy="-90000" algn="bl" rotWithShape="0"/>
            </a:effectLst>
          </a:endParaRPr>
        </a:p>
      </xdr:txBody>
    </xdr:sp>
    <xdr:clientData/>
  </xdr:oneCellAnchor>
  <xdr:twoCellAnchor>
    <xdr:from>
      <xdr:col>22</xdr:col>
      <xdr:colOff>152400</xdr:colOff>
      <xdr:row>23</xdr:row>
      <xdr:rowOff>76200</xdr:rowOff>
    </xdr:from>
    <xdr:to>
      <xdr:col>24</xdr:col>
      <xdr:colOff>3257550</xdr:colOff>
      <xdr:row>25</xdr:row>
      <xdr:rowOff>0</xdr:rowOff>
    </xdr:to>
    <xdr:sp macro="" textlink="">
      <xdr:nvSpPr>
        <xdr:cNvPr id="27" name="Rectángulo redondeado 4">
          <a:extLst>
            <a:ext uri="{FF2B5EF4-FFF2-40B4-BE49-F238E27FC236}">
              <a16:creationId xmlns:a16="http://schemas.microsoft.com/office/drawing/2014/main" id="{64E58D9D-92DA-4B12-BB9F-64A3EA2E37AE}"/>
            </a:ext>
          </a:extLst>
        </xdr:cNvPr>
        <xdr:cNvSpPr/>
      </xdr:nvSpPr>
      <xdr:spPr>
        <a:xfrm>
          <a:off x="18249900" y="4457700"/>
          <a:ext cx="4705350" cy="666750"/>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i="0" u="none" strike="noStrike">
              <a:solidFill>
                <a:schemeClr val="tx1"/>
              </a:solidFill>
              <a:effectLst/>
              <a:latin typeface="Franklin Gothic Book" panose="020B0503020102020204" pitchFamily="34" charset="0"/>
              <a:ea typeface="+mn-ea"/>
              <a:cs typeface="+mn-cs"/>
            </a:rPr>
            <a:t>MODERNIZACIÓN DE SISTEMAS DE INFORMACIÓN  </a:t>
          </a:r>
        </a:p>
      </xdr:txBody>
    </xdr:sp>
    <xdr:clientData/>
  </xdr:twoCellAnchor>
  <xdr:oneCellAnchor>
    <xdr:from>
      <xdr:col>24</xdr:col>
      <xdr:colOff>33618</xdr:colOff>
      <xdr:row>25</xdr:row>
      <xdr:rowOff>76200</xdr:rowOff>
    </xdr:from>
    <xdr:ext cx="1863728" cy="796927"/>
    <xdr:sp macro="" textlink="'FORMULAS%'!E19">
      <xdr:nvSpPr>
        <xdr:cNvPr id="28" name="CuadroTexto 27">
          <a:extLst>
            <a:ext uri="{FF2B5EF4-FFF2-40B4-BE49-F238E27FC236}">
              <a16:creationId xmlns:a16="http://schemas.microsoft.com/office/drawing/2014/main" id="{D0176BEF-B807-4B55-8677-B98D9A0B05CD}"/>
            </a:ext>
          </a:extLst>
        </xdr:cNvPr>
        <xdr:cNvSpPr txBox="1"/>
      </xdr:nvSpPr>
      <xdr:spPr>
        <a:xfrm>
          <a:off x="20529177" y="4917141"/>
          <a:ext cx="186372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2FD967A5-7C8F-4273-B934-79D9A5F1F3F6}" type="TxLink">
            <a:rPr lang="en-US" sz="4800" b="1" i="0" u="none" strike="noStrike">
              <a:solidFill>
                <a:srgbClr val="000000"/>
              </a:solidFill>
              <a:latin typeface="Calibri"/>
              <a:ea typeface="+mn-ea"/>
              <a:cs typeface="Calibri"/>
            </a:rPr>
            <a:pPr marL="0" indent="0" algn="ctr"/>
            <a:t>59,9%</a:t>
          </a:fld>
          <a:endParaRPr lang="es-CO" sz="4800" b="1" i="0" u="none" strike="noStrike">
            <a:solidFill>
              <a:schemeClr val="tx1"/>
            </a:solidFill>
            <a:latin typeface="Arial Narrow" panose="020B0606020202030204" pitchFamily="34" charset="0"/>
            <a:ea typeface="+mn-ea"/>
            <a:cs typeface="Calibri"/>
          </a:endParaRPr>
        </a:p>
      </xdr:txBody>
    </xdr:sp>
    <xdr:clientData/>
  </xdr:oneCellAnchor>
  <xdr:twoCellAnchor>
    <xdr:from>
      <xdr:col>22</xdr:col>
      <xdr:colOff>209550</xdr:colOff>
      <xdr:row>26</xdr:row>
      <xdr:rowOff>533400</xdr:rowOff>
    </xdr:from>
    <xdr:to>
      <xdr:col>24</xdr:col>
      <xdr:colOff>3181350</xdr:colOff>
      <xdr:row>28</xdr:row>
      <xdr:rowOff>381000</xdr:rowOff>
    </xdr:to>
    <xdr:sp macro="" textlink="">
      <xdr:nvSpPr>
        <xdr:cNvPr id="29" name="Rectángulo redondeado 7">
          <a:extLst>
            <a:ext uri="{FF2B5EF4-FFF2-40B4-BE49-F238E27FC236}">
              <a16:creationId xmlns:a16="http://schemas.microsoft.com/office/drawing/2014/main" id="{BE6FCE2E-03F9-432F-AD7F-57FF2444F1AD}"/>
            </a:ext>
          </a:extLst>
        </xdr:cNvPr>
        <xdr:cNvSpPr/>
      </xdr:nvSpPr>
      <xdr:spPr>
        <a:xfrm>
          <a:off x="18307050" y="6210300"/>
          <a:ext cx="4572000" cy="590550"/>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softEdge rad="1270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OPTIMIZACIÓN DE PROCESOS</a:t>
          </a:r>
        </a:p>
      </xdr:txBody>
    </xdr:sp>
    <xdr:clientData/>
  </xdr:twoCellAnchor>
  <xdr:oneCellAnchor>
    <xdr:from>
      <xdr:col>23</xdr:col>
      <xdr:colOff>628650</xdr:colOff>
      <xdr:row>29</xdr:row>
      <xdr:rowOff>72390</xdr:rowOff>
    </xdr:from>
    <xdr:ext cx="1921608" cy="796927"/>
    <xdr:sp macro="" textlink="'FORMULAS%'!E17">
      <xdr:nvSpPr>
        <xdr:cNvPr id="30" name="CuadroTexto 29">
          <a:extLst>
            <a:ext uri="{FF2B5EF4-FFF2-40B4-BE49-F238E27FC236}">
              <a16:creationId xmlns:a16="http://schemas.microsoft.com/office/drawing/2014/main" id="{C181F337-6CDD-40F7-BC82-699FA7AA4470}"/>
            </a:ext>
          </a:extLst>
        </xdr:cNvPr>
        <xdr:cNvSpPr txBox="1"/>
      </xdr:nvSpPr>
      <xdr:spPr>
        <a:xfrm>
          <a:off x="19526250" y="702564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26211619-3679-4013-8CD5-A92FFBAD3C6B}" type="TxLink">
            <a:rPr lang="en-US" sz="4800" b="1" i="0" u="none" strike="noStrike">
              <a:solidFill>
                <a:srgbClr val="000000"/>
              </a:solidFill>
              <a:latin typeface="Calibri"/>
              <a:ea typeface="+mn-ea"/>
              <a:cs typeface="Calibri"/>
            </a:rPr>
            <a:pPr marL="0" indent="0" algn="ctr"/>
            <a:t>113,1%</a:t>
          </a:fld>
          <a:endParaRPr lang="es-CO" sz="4800" b="1" i="0" u="none" strike="noStrike">
            <a:solidFill>
              <a:schemeClr val="tx1"/>
            </a:solidFill>
            <a:latin typeface="Arial Narrow" panose="020B0606020202030204" pitchFamily="34" charset="0"/>
            <a:ea typeface="+mn-ea"/>
            <a:cs typeface="Calibri"/>
          </a:endParaRPr>
        </a:p>
      </xdr:txBody>
    </xdr:sp>
    <xdr:clientData/>
  </xdr:oneCellAnchor>
  <xdr:twoCellAnchor>
    <xdr:from>
      <xdr:col>22</xdr:col>
      <xdr:colOff>323850</xdr:colOff>
      <xdr:row>32</xdr:row>
      <xdr:rowOff>518161</xdr:rowOff>
    </xdr:from>
    <xdr:to>
      <xdr:col>24</xdr:col>
      <xdr:colOff>3219450</xdr:colOff>
      <xdr:row>33</xdr:row>
      <xdr:rowOff>472440</xdr:rowOff>
    </xdr:to>
    <xdr:sp macro="" textlink="">
      <xdr:nvSpPr>
        <xdr:cNvPr id="31" name="Rectángulo redondeado 9">
          <a:extLst>
            <a:ext uri="{FF2B5EF4-FFF2-40B4-BE49-F238E27FC236}">
              <a16:creationId xmlns:a16="http://schemas.microsoft.com/office/drawing/2014/main" id="{CBF0CCB1-F8AC-4532-A717-17F1DF5FC006}"/>
            </a:ext>
          </a:extLst>
        </xdr:cNvPr>
        <xdr:cNvSpPr/>
      </xdr:nvSpPr>
      <xdr:spPr>
        <a:xfrm>
          <a:off x="18421350" y="8042911"/>
          <a:ext cx="4495800" cy="64007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softEdge rad="63500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POSICIONAMIENTO COMO ENTE RECTOR</a:t>
          </a:r>
        </a:p>
      </xdr:txBody>
    </xdr:sp>
    <xdr:clientData/>
  </xdr:twoCellAnchor>
  <xdr:twoCellAnchor>
    <xdr:from>
      <xdr:col>22</xdr:col>
      <xdr:colOff>285750</xdr:colOff>
      <xdr:row>33</xdr:row>
      <xdr:rowOff>1402081</xdr:rowOff>
    </xdr:from>
    <xdr:to>
      <xdr:col>24</xdr:col>
      <xdr:colOff>3390900</xdr:colOff>
      <xdr:row>34</xdr:row>
      <xdr:rowOff>457200</xdr:rowOff>
    </xdr:to>
    <xdr:sp macro="" textlink="">
      <xdr:nvSpPr>
        <xdr:cNvPr id="32" name="Rectángulo redondeado 11">
          <a:extLst>
            <a:ext uri="{FF2B5EF4-FFF2-40B4-BE49-F238E27FC236}">
              <a16:creationId xmlns:a16="http://schemas.microsoft.com/office/drawing/2014/main" id="{EFE9D080-3058-4CE5-B0D1-E8B23BEF99E6}"/>
            </a:ext>
          </a:extLst>
        </xdr:cNvPr>
        <xdr:cNvSpPr/>
      </xdr:nvSpPr>
      <xdr:spPr>
        <a:xfrm>
          <a:off x="18383250" y="9612631"/>
          <a:ext cx="4705350" cy="63626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 RESPALDO JURÍDICO QUE GENERA CONFIANZA. </a:t>
          </a:r>
        </a:p>
      </xdr:txBody>
    </xdr:sp>
    <xdr:clientData/>
  </xdr:twoCellAnchor>
  <xdr:oneCellAnchor>
    <xdr:from>
      <xdr:col>23</xdr:col>
      <xdr:colOff>689610</xdr:colOff>
      <xdr:row>33</xdr:row>
      <xdr:rowOff>537210</xdr:rowOff>
    </xdr:from>
    <xdr:ext cx="1921608" cy="796927"/>
    <xdr:sp macro="" textlink="'FORMULAS%'!E16">
      <xdr:nvSpPr>
        <xdr:cNvPr id="33" name="CuadroTexto 32">
          <a:extLst>
            <a:ext uri="{FF2B5EF4-FFF2-40B4-BE49-F238E27FC236}">
              <a16:creationId xmlns:a16="http://schemas.microsoft.com/office/drawing/2014/main" id="{8C1E237E-27C2-442A-A7ED-1C8B5F1E874B}"/>
            </a:ext>
          </a:extLst>
        </xdr:cNvPr>
        <xdr:cNvSpPr txBox="1"/>
      </xdr:nvSpPr>
      <xdr:spPr>
        <a:xfrm>
          <a:off x="19587210" y="874776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70C7F72B-8454-4102-89BC-F63A21AC1FD8}" type="TxLink">
            <a:rPr lang="en-US" sz="4800" b="1" i="0" u="none" strike="noStrike">
              <a:solidFill>
                <a:srgbClr val="000000"/>
              </a:solidFill>
              <a:latin typeface="Calibri"/>
              <a:ea typeface="+mn-ea"/>
              <a:cs typeface="Calibri"/>
            </a:rPr>
            <a:pPr marL="0" indent="0" algn="ctr"/>
            <a:t>80,7%</a:t>
          </a:fld>
          <a:endParaRPr lang="es-CO" sz="4800" b="1" i="0" u="none" strike="noStrike">
            <a:solidFill>
              <a:schemeClr val="tx1"/>
            </a:solidFill>
            <a:latin typeface="Arial Narrow" panose="020B0606020202030204" pitchFamily="34" charset="0"/>
            <a:ea typeface="+mn-ea"/>
            <a:cs typeface="Calibri"/>
          </a:endParaRPr>
        </a:p>
      </xdr:txBody>
    </xdr:sp>
    <xdr:clientData/>
  </xdr:oneCellAnchor>
  <xdr:oneCellAnchor>
    <xdr:from>
      <xdr:col>23</xdr:col>
      <xdr:colOff>701040</xdr:colOff>
      <xdr:row>34</xdr:row>
      <xdr:rowOff>579120</xdr:rowOff>
    </xdr:from>
    <xdr:ext cx="1921608" cy="796927"/>
    <xdr:sp macro="" textlink="'FORMULAS%'!E18">
      <xdr:nvSpPr>
        <xdr:cNvPr id="34" name="CuadroTexto 33">
          <a:extLst>
            <a:ext uri="{FF2B5EF4-FFF2-40B4-BE49-F238E27FC236}">
              <a16:creationId xmlns:a16="http://schemas.microsoft.com/office/drawing/2014/main" id="{2C6BFADF-32A2-4E87-9AC4-F70C4947C58A}"/>
            </a:ext>
          </a:extLst>
        </xdr:cNvPr>
        <xdr:cNvSpPr txBox="1"/>
      </xdr:nvSpPr>
      <xdr:spPr>
        <a:xfrm>
          <a:off x="19598640" y="1037082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76E9274E-11E6-4763-9661-3E956A05D8C0}" type="TxLink">
            <a:rPr lang="en-US" sz="4800" b="1" i="0" u="none" strike="noStrike">
              <a:solidFill>
                <a:srgbClr val="000000"/>
              </a:solidFill>
              <a:latin typeface="Calibri"/>
              <a:ea typeface="+mn-ea"/>
              <a:cs typeface="Calibri"/>
            </a:rPr>
            <a:pPr marL="0" indent="0" algn="ctr"/>
            <a:t>121,5%</a:t>
          </a:fld>
          <a:endParaRPr lang="es-CO" sz="4800" b="1" i="0" u="none" strike="noStrike">
            <a:solidFill>
              <a:schemeClr val="tx1"/>
            </a:solidFill>
            <a:latin typeface="Arial Narrow" panose="020B0606020202030204" pitchFamily="34" charset="0"/>
            <a:ea typeface="+mn-ea"/>
            <a:cs typeface="Calibri"/>
          </a:endParaRPr>
        </a:p>
      </xdr:txBody>
    </xdr:sp>
    <xdr:clientData/>
  </xdr:oneCellAnchor>
  <xdr:oneCellAnchor>
    <xdr:from>
      <xdr:col>24</xdr:col>
      <xdr:colOff>4294485</xdr:colOff>
      <xdr:row>14</xdr:row>
      <xdr:rowOff>47844</xdr:rowOff>
    </xdr:from>
    <xdr:ext cx="3992696" cy="1469890"/>
    <xdr:sp macro="" textlink="">
      <xdr:nvSpPr>
        <xdr:cNvPr id="37" name="Rectángulo 36">
          <a:extLst>
            <a:ext uri="{FF2B5EF4-FFF2-40B4-BE49-F238E27FC236}">
              <a16:creationId xmlns:a16="http://schemas.microsoft.com/office/drawing/2014/main" id="{17584141-C0FB-4812-9D63-FD00A2B488CD}"/>
            </a:ext>
          </a:extLst>
        </xdr:cNvPr>
        <xdr:cNvSpPr/>
      </xdr:nvSpPr>
      <xdr:spPr>
        <a:xfrm>
          <a:off x="25020885" y="2714844"/>
          <a:ext cx="3992696" cy="1469890"/>
        </a:xfrm>
        <a:prstGeom prst="rect">
          <a:avLst/>
        </a:prstGeom>
        <a:noFill/>
      </xdr:spPr>
      <xdr:txBody>
        <a:bodyPr wrap="none" lIns="91440" tIns="45720" rIns="91440" bIns="45720">
          <a:spAutoFit/>
        </a:bodyPr>
        <a:lstStyle/>
        <a:p>
          <a:pPr algn="ctr"/>
          <a:r>
            <a:rPr lang="es-ES" sz="4400" b="1" cap="none" spc="0">
              <a:ln w="0"/>
              <a:solidFill>
                <a:schemeClr val="tx1"/>
              </a:solidFill>
              <a:effectLst>
                <a:reflection blurRad="6350" stA="53000" endA="300" endPos="35500" dir="5400000" sy="-90000" algn="bl" rotWithShape="0"/>
              </a:effectLst>
            </a:rPr>
            <a:t>INDICADORES</a:t>
          </a:r>
        </a:p>
        <a:p>
          <a:pPr algn="ctr"/>
          <a:r>
            <a:rPr lang="es-ES" sz="4400" b="1" cap="none" spc="0">
              <a:ln w="0"/>
              <a:solidFill>
                <a:schemeClr val="tx1"/>
              </a:solidFill>
              <a:effectLst>
                <a:reflection blurRad="6350" stA="53000" endA="300" endPos="35500" dir="5400000" sy="-90000" algn="bl" rotWithShape="0"/>
              </a:effectLst>
            </a:rPr>
            <a:t>  VIGENCIA</a:t>
          </a:r>
          <a:r>
            <a:rPr lang="es-ES" sz="4400" b="1" cap="none" spc="0" baseline="0">
              <a:ln w="0"/>
              <a:solidFill>
                <a:schemeClr val="tx1"/>
              </a:solidFill>
              <a:effectLst>
                <a:reflection blurRad="6350" stA="53000" endA="300" endPos="35500" dir="5400000" sy="-90000" algn="bl" rotWithShape="0"/>
              </a:effectLst>
            </a:rPr>
            <a:t> 2023</a:t>
          </a:r>
          <a:endParaRPr lang="es-ES" sz="4400" b="1" cap="none" spc="0">
            <a:ln w="0"/>
            <a:solidFill>
              <a:schemeClr val="tx1"/>
            </a:solidFill>
            <a:effectLst>
              <a:reflection blurRad="6350" stA="53000" endA="300" endPos="35500" dir="5400000" sy="-90000" algn="bl" rotWithShape="0"/>
            </a:effectLst>
          </a:endParaRPr>
        </a:p>
      </xdr:txBody>
    </xdr:sp>
    <xdr:clientData/>
  </xdr:oneCellAnchor>
  <xdr:twoCellAnchor>
    <xdr:from>
      <xdr:col>28</xdr:col>
      <xdr:colOff>292746</xdr:colOff>
      <xdr:row>14</xdr:row>
      <xdr:rowOff>82786</xdr:rowOff>
    </xdr:from>
    <xdr:to>
      <xdr:col>31</xdr:col>
      <xdr:colOff>2756647</xdr:colOff>
      <xdr:row>25</xdr:row>
      <xdr:rowOff>301451</xdr:rowOff>
    </xdr:to>
    <xdr:graphicFrame macro="">
      <xdr:nvGraphicFramePr>
        <xdr:cNvPr id="38" name="Gráfico 37">
          <a:extLst>
            <a:ext uri="{FF2B5EF4-FFF2-40B4-BE49-F238E27FC236}">
              <a16:creationId xmlns:a16="http://schemas.microsoft.com/office/drawing/2014/main" id="{6CB12BBD-EF6E-4159-8CF3-E9A14EB317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4948518</xdr:colOff>
      <xdr:row>34</xdr:row>
      <xdr:rowOff>415727</xdr:rowOff>
    </xdr:from>
    <xdr:to>
      <xdr:col>26</xdr:col>
      <xdr:colOff>1024218</xdr:colOff>
      <xdr:row>35</xdr:row>
      <xdr:rowOff>367815</xdr:rowOff>
    </xdr:to>
    <xdr:sp macro="" textlink="">
      <xdr:nvSpPr>
        <xdr:cNvPr id="39" name="Rectángulo redondeado 11">
          <a:extLst>
            <a:ext uri="{FF2B5EF4-FFF2-40B4-BE49-F238E27FC236}">
              <a16:creationId xmlns:a16="http://schemas.microsoft.com/office/drawing/2014/main" id="{0EE6E749-644A-4BE9-8127-3909F074C436}"/>
            </a:ext>
          </a:extLst>
        </xdr:cNvPr>
        <xdr:cNvSpPr/>
      </xdr:nvSpPr>
      <xdr:spPr>
        <a:xfrm>
          <a:off x="25444077" y="9862286"/>
          <a:ext cx="3135406" cy="624441"/>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 TOTAL</a:t>
          </a:r>
          <a:r>
            <a:rPr lang="es-CO" sz="1600" b="1" i="0" u="none" strike="noStrike" baseline="0">
              <a:solidFill>
                <a:schemeClr val="tx1"/>
              </a:solidFill>
              <a:effectLst/>
              <a:latin typeface="Franklin Gothic Book" panose="020B0503020102020204" pitchFamily="34" charset="0"/>
              <a:ea typeface="+mn-ea"/>
              <a:cs typeface="+mn-cs"/>
            </a:rPr>
            <a:t> DE INDICADORES ACTIVOS</a:t>
          </a:r>
          <a:endParaRPr lang="es-CO" sz="1600" b="1" i="0" u="none" strike="noStrike">
            <a:solidFill>
              <a:schemeClr val="tx1"/>
            </a:solidFill>
            <a:effectLst/>
            <a:latin typeface="Franklin Gothic Book" panose="020B0503020102020204" pitchFamily="34" charset="0"/>
            <a:ea typeface="+mn-ea"/>
            <a:cs typeface="+mn-cs"/>
          </a:endParaRPr>
        </a:p>
      </xdr:txBody>
    </xdr:sp>
    <xdr:clientData/>
  </xdr:twoCellAnchor>
  <xdr:oneCellAnchor>
    <xdr:from>
      <xdr:col>26</xdr:col>
      <xdr:colOff>993800</xdr:colOff>
      <xdr:row>34</xdr:row>
      <xdr:rowOff>288973</xdr:rowOff>
    </xdr:from>
    <xdr:ext cx="1921608" cy="796927"/>
    <xdr:sp macro="" textlink="'FORMULAS%'!Q2">
      <xdr:nvSpPr>
        <xdr:cNvPr id="40" name="CuadroTexto 39">
          <a:extLst>
            <a:ext uri="{FF2B5EF4-FFF2-40B4-BE49-F238E27FC236}">
              <a16:creationId xmlns:a16="http://schemas.microsoft.com/office/drawing/2014/main" id="{91740A6E-2630-4067-922D-68DC6986919C}"/>
            </a:ext>
          </a:extLst>
        </xdr:cNvPr>
        <xdr:cNvSpPr txBox="1"/>
      </xdr:nvSpPr>
      <xdr:spPr>
        <a:xfrm>
          <a:off x="28549065" y="9735532"/>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47646701-2288-4608-9E6D-38116306F361}" type="TxLink">
            <a:rPr lang="en-US" sz="6000" b="1" i="0" u="none" strike="noStrike">
              <a:solidFill>
                <a:schemeClr val="tx1"/>
              </a:solidFill>
              <a:latin typeface="Calibri"/>
              <a:ea typeface="+mn-ea"/>
              <a:cs typeface="Calibri"/>
            </a:rPr>
            <a:pPr marL="0" indent="0" algn="ctr"/>
            <a:t>64</a:t>
          </a:fld>
          <a:endParaRPr lang="es-CO" sz="6000" b="1" i="0" u="none" strike="noStrike">
            <a:solidFill>
              <a:schemeClr val="tx1"/>
            </a:solidFill>
            <a:latin typeface="Arial Narrow" panose="020B0606020202030204" pitchFamily="34" charset="0"/>
            <a:ea typeface="+mn-ea"/>
            <a:cs typeface="Calibri"/>
          </a:endParaRPr>
        </a:p>
      </xdr:txBody>
    </xdr:sp>
    <xdr:clientData/>
  </xdr:oneCellAnchor>
  <xdr:twoCellAnchor>
    <xdr:from>
      <xdr:col>29</xdr:col>
      <xdr:colOff>410134</xdr:colOff>
      <xdr:row>34</xdr:row>
      <xdr:rowOff>548268</xdr:rowOff>
    </xdr:from>
    <xdr:to>
      <xdr:col>31</xdr:col>
      <xdr:colOff>699931</xdr:colOff>
      <xdr:row>35</xdr:row>
      <xdr:rowOff>522767</xdr:rowOff>
    </xdr:to>
    <xdr:sp macro="" textlink="">
      <xdr:nvSpPr>
        <xdr:cNvPr id="42" name="Rectángulo redondeado 11">
          <a:extLst>
            <a:ext uri="{FF2B5EF4-FFF2-40B4-BE49-F238E27FC236}">
              <a16:creationId xmlns:a16="http://schemas.microsoft.com/office/drawing/2014/main" id="{3F8F2345-58D8-42B8-A4DD-5C3EEE4CE7B3}"/>
            </a:ext>
          </a:extLst>
        </xdr:cNvPr>
        <xdr:cNvSpPr/>
      </xdr:nvSpPr>
      <xdr:spPr>
        <a:xfrm>
          <a:off x="31786605" y="9994827"/>
          <a:ext cx="3180914" cy="646852"/>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 TOTAL</a:t>
          </a:r>
          <a:r>
            <a:rPr lang="es-CO" sz="1600" b="1" i="0" u="none" strike="noStrike" baseline="0">
              <a:solidFill>
                <a:schemeClr val="tx1"/>
              </a:solidFill>
              <a:effectLst/>
              <a:latin typeface="Franklin Gothic Book" panose="020B0503020102020204" pitchFamily="34" charset="0"/>
              <a:ea typeface="+mn-ea"/>
              <a:cs typeface="+mn-cs"/>
            </a:rPr>
            <a:t> EN CUMPLIMIENTO</a:t>
          </a:r>
          <a:endParaRPr lang="es-CO" sz="1600" b="1" i="0" u="none" strike="noStrike">
            <a:solidFill>
              <a:schemeClr val="tx1"/>
            </a:solidFill>
            <a:effectLst/>
            <a:latin typeface="Franklin Gothic Book" panose="020B0503020102020204" pitchFamily="34" charset="0"/>
            <a:ea typeface="+mn-ea"/>
            <a:cs typeface="+mn-cs"/>
          </a:endParaRPr>
        </a:p>
      </xdr:txBody>
    </xdr:sp>
    <xdr:clientData/>
  </xdr:twoCellAnchor>
  <xdr:oneCellAnchor>
    <xdr:from>
      <xdr:col>31</xdr:col>
      <xdr:colOff>547557</xdr:colOff>
      <xdr:row>34</xdr:row>
      <xdr:rowOff>443491</xdr:rowOff>
    </xdr:from>
    <xdr:ext cx="1921608" cy="796927"/>
    <xdr:sp macro="" textlink="'FORMULAS%'!X2">
      <xdr:nvSpPr>
        <xdr:cNvPr id="43" name="CuadroTexto 42">
          <a:extLst>
            <a:ext uri="{FF2B5EF4-FFF2-40B4-BE49-F238E27FC236}">
              <a16:creationId xmlns:a16="http://schemas.microsoft.com/office/drawing/2014/main" id="{55DF405F-8D16-42A5-90E8-989064EF763C}"/>
            </a:ext>
          </a:extLst>
        </xdr:cNvPr>
        <xdr:cNvSpPr txBox="1"/>
      </xdr:nvSpPr>
      <xdr:spPr>
        <a:xfrm>
          <a:off x="34815145" y="989005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B46E7EBD-7F67-4B73-8061-322AE16BD354}" type="TxLink">
            <a:rPr lang="en-US" sz="6000" b="1" i="0" u="none" strike="noStrike">
              <a:solidFill>
                <a:srgbClr val="000000"/>
              </a:solidFill>
              <a:latin typeface="Calibri"/>
              <a:ea typeface="Calibri"/>
              <a:cs typeface="Calibri"/>
            </a:rPr>
            <a:pPr marL="0" indent="0" algn="ctr"/>
            <a:t>58</a:t>
          </a:fld>
          <a:endParaRPr lang="es-CO" sz="6000" b="1" i="0" u="none" strike="noStrike">
            <a:solidFill>
              <a:schemeClr val="tx1"/>
            </a:solidFill>
            <a:latin typeface="Arial Narrow" panose="020B0606020202030204" pitchFamily="34" charset="0"/>
            <a:ea typeface="+mn-ea"/>
            <a:cs typeface="Calibri"/>
          </a:endParaRPr>
        </a:p>
      </xdr:txBody>
    </xdr:sp>
    <xdr:clientData/>
  </xdr:oneCellAnchor>
  <xdr:twoCellAnchor>
    <xdr:from>
      <xdr:col>1</xdr:col>
      <xdr:colOff>0</xdr:colOff>
      <xdr:row>39</xdr:row>
      <xdr:rowOff>157555</xdr:rowOff>
    </xdr:from>
    <xdr:to>
      <xdr:col>31</xdr:col>
      <xdr:colOff>2762250</xdr:colOff>
      <xdr:row>40</xdr:row>
      <xdr:rowOff>152400</xdr:rowOff>
    </xdr:to>
    <xdr:sp macro="" textlink="">
      <xdr:nvSpPr>
        <xdr:cNvPr id="44" name="Rectángulo 43">
          <a:extLst>
            <a:ext uri="{FF2B5EF4-FFF2-40B4-BE49-F238E27FC236}">
              <a16:creationId xmlns:a16="http://schemas.microsoft.com/office/drawing/2014/main" id="{9C1ED19F-6CF9-4393-A347-3D9AE991E068}"/>
            </a:ext>
          </a:extLst>
        </xdr:cNvPr>
        <xdr:cNvSpPr/>
      </xdr:nvSpPr>
      <xdr:spPr>
        <a:xfrm>
          <a:off x="0" y="11854255"/>
          <a:ext cx="32975550" cy="185345"/>
        </a:xfrm>
        <a:prstGeom prst="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a:p>
      </xdr:txBody>
    </xdr:sp>
    <xdr:clientData/>
  </xdr:twoCellAnchor>
  <xdr:twoCellAnchor>
    <xdr:from>
      <xdr:col>23</xdr:col>
      <xdr:colOff>564833</xdr:colOff>
      <xdr:row>40</xdr:row>
      <xdr:rowOff>95250</xdr:rowOff>
    </xdr:from>
    <xdr:to>
      <xdr:col>23</xdr:col>
      <xdr:colOff>711518</xdr:colOff>
      <xdr:row>113</xdr:row>
      <xdr:rowOff>171450</xdr:rowOff>
    </xdr:to>
    <xdr:sp macro="" textlink="">
      <xdr:nvSpPr>
        <xdr:cNvPr id="45" name="Rectángulo 44">
          <a:extLst>
            <a:ext uri="{FF2B5EF4-FFF2-40B4-BE49-F238E27FC236}">
              <a16:creationId xmlns:a16="http://schemas.microsoft.com/office/drawing/2014/main" id="{FD9B89FD-CFE5-49E6-8C33-BD085D792B52}"/>
            </a:ext>
          </a:extLst>
        </xdr:cNvPr>
        <xdr:cNvSpPr/>
      </xdr:nvSpPr>
      <xdr:spPr>
        <a:xfrm flipH="1">
          <a:off x="20453033" y="11982450"/>
          <a:ext cx="146685" cy="22631400"/>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oneCellAnchor>
    <xdr:from>
      <xdr:col>5</xdr:col>
      <xdr:colOff>545147</xdr:colOff>
      <xdr:row>42</xdr:row>
      <xdr:rowOff>95250</xdr:rowOff>
    </xdr:from>
    <xdr:ext cx="8684558" cy="781111"/>
    <xdr:sp macro="" textlink="">
      <xdr:nvSpPr>
        <xdr:cNvPr id="46" name="Rectángulo 45">
          <a:extLst>
            <a:ext uri="{FF2B5EF4-FFF2-40B4-BE49-F238E27FC236}">
              <a16:creationId xmlns:a16="http://schemas.microsoft.com/office/drawing/2014/main" id="{018F99E8-D712-4BCA-BA0E-671AEE2D345E}"/>
            </a:ext>
          </a:extLst>
        </xdr:cNvPr>
        <xdr:cNvSpPr/>
      </xdr:nvSpPr>
      <xdr:spPr>
        <a:xfrm>
          <a:off x="3745547" y="12363450"/>
          <a:ext cx="8684558" cy="781111"/>
        </a:xfrm>
        <a:prstGeom prst="rect">
          <a:avLst/>
        </a:prstGeom>
        <a:noFill/>
      </xdr:spPr>
      <xdr:txBody>
        <a:bodyPr wrap="none" lIns="91440" tIns="45720" rIns="91440" bIns="45720">
          <a:spAutoFit/>
        </a:bodyPr>
        <a:lstStyle/>
        <a:p>
          <a:pPr algn="ctr"/>
          <a:r>
            <a:rPr lang="es-ES" sz="4400" b="1" cap="none" spc="0">
              <a:ln w="0"/>
              <a:solidFill>
                <a:schemeClr val="tx1"/>
              </a:solidFill>
              <a:effectLst>
                <a:reflection blurRad="6350" stA="53000" endA="300" endPos="35500" dir="5400000" sy="-90000" algn="bl" rotWithShape="0"/>
              </a:effectLst>
            </a:rPr>
            <a:t>HOJA DE VIDA DE</a:t>
          </a:r>
          <a:r>
            <a:rPr lang="es-ES" sz="4400" b="1" cap="none" spc="0" baseline="0">
              <a:ln w="0"/>
              <a:solidFill>
                <a:schemeClr val="tx1"/>
              </a:solidFill>
              <a:effectLst>
                <a:reflection blurRad="6350" stA="53000" endA="300" endPos="35500" dir="5400000" sy="-90000" algn="bl" rotWithShape="0"/>
              </a:effectLst>
            </a:rPr>
            <a:t> LOS </a:t>
          </a:r>
          <a:r>
            <a:rPr lang="es-ES" sz="4400" b="1" cap="none" spc="0">
              <a:ln w="0"/>
              <a:solidFill>
                <a:schemeClr val="tx1"/>
              </a:solidFill>
              <a:effectLst>
                <a:reflection blurRad="6350" stA="53000" endA="300" endPos="35500" dir="5400000" sy="-90000" algn="bl" rotWithShape="0"/>
              </a:effectLst>
            </a:rPr>
            <a:t>INDICADORES</a:t>
          </a:r>
        </a:p>
      </xdr:txBody>
    </xdr:sp>
    <xdr:clientData/>
  </xdr:oneCellAnchor>
  <xdr:oneCellAnchor>
    <xdr:from>
      <xdr:col>24</xdr:col>
      <xdr:colOff>4395189</xdr:colOff>
      <xdr:row>42</xdr:row>
      <xdr:rowOff>19050</xdr:rowOff>
    </xdr:from>
    <xdr:ext cx="6486135" cy="781111"/>
    <xdr:sp macro="" textlink="">
      <xdr:nvSpPr>
        <xdr:cNvPr id="47" name="Rectángulo 46">
          <a:extLst>
            <a:ext uri="{FF2B5EF4-FFF2-40B4-BE49-F238E27FC236}">
              <a16:creationId xmlns:a16="http://schemas.microsoft.com/office/drawing/2014/main" id="{A1EA707C-198D-43A5-9B88-813272118D01}"/>
            </a:ext>
          </a:extLst>
        </xdr:cNvPr>
        <xdr:cNvSpPr/>
      </xdr:nvSpPr>
      <xdr:spPr>
        <a:xfrm>
          <a:off x="24778689" y="12287250"/>
          <a:ext cx="6486135" cy="781111"/>
        </a:xfrm>
        <a:prstGeom prst="rect">
          <a:avLst/>
        </a:prstGeom>
        <a:noFill/>
      </xdr:spPr>
      <xdr:txBody>
        <a:bodyPr wrap="none" lIns="91440" tIns="45720" rIns="91440" bIns="45720">
          <a:spAutoFit/>
        </a:bodyPr>
        <a:lstStyle/>
        <a:p>
          <a:pPr algn="ctr"/>
          <a:r>
            <a:rPr lang="es-ES" sz="4400" b="1" cap="none" spc="0">
              <a:ln w="0"/>
              <a:solidFill>
                <a:schemeClr val="tx1"/>
              </a:solidFill>
              <a:effectLst>
                <a:reflection blurRad="6350" stA="53000" endA="300" endPos="35500" dir="5400000" sy="-90000" algn="bl" rotWithShape="0"/>
              </a:effectLst>
            </a:rPr>
            <a:t>RESULTADO POR PROCESO</a:t>
          </a:r>
        </a:p>
      </xdr:txBody>
    </xdr:sp>
    <xdr:clientData/>
  </xdr:oneCellAnchor>
  <xdr:twoCellAnchor>
    <xdr:from>
      <xdr:col>13</xdr:col>
      <xdr:colOff>15240</xdr:colOff>
      <xdr:row>63</xdr:row>
      <xdr:rowOff>6342</xdr:rowOff>
    </xdr:from>
    <xdr:to>
      <xdr:col>16</xdr:col>
      <xdr:colOff>9071</xdr:colOff>
      <xdr:row>64</xdr:row>
      <xdr:rowOff>139700</xdr:rowOff>
    </xdr:to>
    <xdr:sp macro="" textlink="">
      <xdr:nvSpPr>
        <xdr:cNvPr id="54" name="Rectángulo redondeado 10">
          <a:extLst>
            <a:ext uri="{FF2B5EF4-FFF2-40B4-BE49-F238E27FC236}">
              <a16:creationId xmlns:a16="http://schemas.microsoft.com/office/drawing/2014/main" id="{339E99C9-6081-4FFB-AC30-5DBA3F773050}"/>
            </a:ext>
          </a:extLst>
        </xdr:cNvPr>
        <xdr:cNvSpPr/>
      </xdr:nvSpPr>
      <xdr:spPr>
        <a:xfrm>
          <a:off x="10530840" y="18355302"/>
          <a:ext cx="2371271" cy="849638"/>
        </a:xfrm>
        <a:prstGeom prst="roundRect">
          <a:avLst/>
        </a:prstGeom>
        <a:solidFill>
          <a:srgbClr val="FFFF00"/>
        </a:solidFill>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algn="ctr"/>
          <a:r>
            <a:rPr lang="es-CO" sz="1500" b="1" cap="none" spc="50">
              <a:ln w="0"/>
              <a:solidFill>
                <a:schemeClr val="tx1"/>
              </a:solidFill>
              <a:effectLst>
                <a:innerShdw blurRad="63500" dist="50800" dir="13500000">
                  <a:srgbClr val="000000">
                    <a:alpha val="50000"/>
                  </a:srgbClr>
                </a:innerShdw>
              </a:effectLst>
              <a:latin typeface="Century Gothic" panose="020B0502020202020204" pitchFamily="34" charset="0"/>
            </a:rPr>
            <a:t>ANUALIZACIÓN</a:t>
          </a:r>
        </a:p>
      </xdr:txBody>
    </xdr:sp>
    <xdr:clientData/>
  </xdr:twoCellAnchor>
  <xdr:twoCellAnchor>
    <xdr:from>
      <xdr:col>12</xdr:col>
      <xdr:colOff>761999</xdr:colOff>
      <xdr:row>67</xdr:row>
      <xdr:rowOff>2412</xdr:rowOff>
    </xdr:from>
    <xdr:to>
      <xdr:col>16</xdr:col>
      <xdr:colOff>19198</xdr:colOff>
      <xdr:row>68</xdr:row>
      <xdr:rowOff>106680</xdr:rowOff>
    </xdr:to>
    <xdr:sp macro="" textlink="">
      <xdr:nvSpPr>
        <xdr:cNvPr id="55" name="Rectángulo redondeado 18">
          <a:extLst>
            <a:ext uri="{FF2B5EF4-FFF2-40B4-BE49-F238E27FC236}">
              <a16:creationId xmlns:a16="http://schemas.microsoft.com/office/drawing/2014/main" id="{976A14C3-2028-475D-B25E-D94177233215}"/>
            </a:ext>
          </a:extLst>
        </xdr:cNvPr>
        <xdr:cNvSpPr/>
      </xdr:nvSpPr>
      <xdr:spPr>
        <a:xfrm>
          <a:off x="10485119" y="19829652"/>
          <a:ext cx="2427119" cy="302388"/>
        </a:xfrm>
        <a:prstGeom prst="roundRect">
          <a:avLst/>
        </a:prstGeom>
        <a:solidFill>
          <a:srgbClr val="FFFF00"/>
        </a:solidFill>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algn="ctr"/>
          <a:r>
            <a:rPr lang="es-CO" sz="1500" b="1" cap="none" spc="50">
              <a:ln w="0"/>
              <a:solidFill>
                <a:schemeClr val="tx1"/>
              </a:solidFill>
              <a:effectLst>
                <a:innerShdw blurRad="63500" dist="50800" dir="13500000">
                  <a:srgbClr val="000000">
                    <a:alpha val="50000"/>
                  </a:srgbClr>
                </a:innerShdw>
              </a:effectLst>
              <a:latin typeface="Century Gothic" panose="020B0502020202020204" pitchFamily="34" charset="0"/>
            </a:rPr>
            <a:t>PERIODICIDAD</a:t>
          </a:r>
        </a:p>
      </xdr:txBody>
    </xdr:sp>
    <xdr:clientData/>
  </xdr:twoCellAnchor>
  <xdr:twoCellAnchor>
    <xdr:from>
      <xdr:col>12</xdr:col>
      <xdr:colOff>777240</xdr:colOff>
      <xdr:row>71</xdr:row>
      <xdr:rowOff>17070</xdr:rowOff>
    </xdr:from>
    <xdr:to>
      <xdr:col>16</xdr:col>
      <xdr:colOff>7254</xdr:colOff>
      <xdr:row>72</xdr:row>
      <xdr:rowOff>137160</xdr:rowOff>
    </xdr:to>
    <xdr:sp macro="" textlink="">
      <xdr:nvSpPr>
        <xdr:cNvPr id="56" name="Rectángulo redondeado 19">
          <a:extLst>
            <a:ext uri="{FF2B5EF4-FFF2-40B4-BE49-F238E27FC236}">
              <a16:creationId xmlns:a16="http://schemas.microsoft.com/office/drawing/2014/main" id="{AEA065EA-6863-455E-9A5C-370DEF11B865}"/>
            </a:ext>
          </a:extLst>
        </xdr:cNvPr>
        <xdr:cNvSpPr/>
      </xdr:nvSpPr>
      <xdr:spPr>
        <a:xfrm>
          <a:off x="10500360" y="20743470"/>
          <a:ext cx="2399934" cy="318210"/>
        </a:xfrm>
        <a:prstGeom prst="roundRect">
          <a:avLst/>
        </a:prstGeom>
        <a:solidFill>
          <a:srgbClr val="FFFF00"/>
        </a:solidFill>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algn="ctr"/>
          <a:r>
            <a:rPr lang="es-CO" sz="1500" b="1" cap="none" spc="50">
              <a:ln w="0"/>
              <a:solidFill>
                <a:schemeClr val="tx1"/>
              </a:solidFill>
              <a:effectLst>
                <a:innerShdw blurRad="63500" dist="50800" dir="13500000">
                  <a:srgbClr val="000000">
                    <a:alpha val="50000"/>
                  </a:srgbClr>
                </a:innerShdw>
              </a:effectLst>
              <a:latin typeface="Century Gothic" panose="020B0502020202020204" pitchFamily="34" charset="0"/>
            </a:rPr>
            <a:t>TIPO</a:t>
          </a:r>
        </a:p>
      </xdr:txBody>
    </xdr:sp>
    <xdr:clientData/>
  </xdr:twoCellAnchor>
  <xdr:twoCellAnchor>
    <xdr:from>
      <xdr:col>2</xdr:col>
      <xdr:colOff>60960</xdr:colOff>
      <xdr:row>78</xdr:row>
      <xdr:rowOff>25399</xdr:rowOff>
    </xdr:from>
    <xdr:to>
      <xdr:col>5</xdr:col>
      <xdr:colOff>0</xdr:colOff>
      <xdr:row>81</xdr:row>
      <xdr:rowOff>0</xdr:rowOff>
    </xdr:to>
    <xdr:sp macro="" textlink="">
      <xdr:nvSpPr>
        <xdr:cNvPr id="60" name="Rectángulo redondeado 14">
          <a:extLst>
            <a:ext uri="{FF2B5EF4-FFF2-40B4-BE49-F238E27FC236}">
              <a16:creationId xmlns:a16="http://schemas.microsoft.com/office/drawing/2014/main" id="{25CB4F89-37D2-4CC4-BB63-2FBAF4BDC797}"/>
            </a:ext>
          </a:extLst>
        </xdr:cNvPr>
        <xdr:cNvSpPr>
          <a:spLocks noChangeAspect="1"/>
        </xdr:cNvSpPr>
      </xdr:nvSpPr>
      <xdr:spPr>
        <a:xfrm>
          <a:off x="853440" y="22321519"/>
          <a:ext cx="2316480" cy="645161"/>
        </a:xfrm>
        <a:prstGeom prst="roundRect">
          <a:avLst/>
        </a:prstGeom>
        <a:solidFill>
          <a:srgbClr val="FFFF00"/>
        </a:solidFill>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marL="0" indent="0" algn="ctr"/>
          <a:r>
            <a:rPr lang="es-CO" sz="1500" b="1" cap="none" spc="50">
              <a:ln w="0"/>
              <a:solidFill>
                <a:sysClr val="windowText" lastClr="000000"/>
              </a:solidFill>
              <a:effectLst>
                <a:innerShdw blurRad="63500" dist="50800" dir="13500000">
                  <a:srgbClr val="000000">
                    <a:alpha val="50000"/>
                  </a:srgbClr>
                </a:innerShdw>
              </a:effectLst>
              <a:latin typeface="Century Gothic" panose="020B0502020202020204" pitchFamily="34" charset="0"/>
              <a:ea typeface="+mn-ea"/>
              <a:cs typeface="+mn-cs"/>
            </a:rPr>
            <a:t>ANALÍSIS DEL PERIODO:</a:t>
          </a:r>
        </a:p>
      </xdr:txBody>
    </xdr:sp>
    <xdr:clientData/>
  </xdr:twoCellAnchor>
  <xdr:oneCellAnchor>
    <xdr:from>
      <xdr:col>17</xdr:col>
      <xdr:colOff>622618</xdr:colOff>
      <xdr:row>75</xdr:row>
      <xdr:rowOff>91440</xdr:rowOff>
    </xdr:from>
    <xdr:ext cx="3363293" cy="530658"/>
    <xdr:sp macro="" textlink="">
      <xdr:nvSpPr>
        <xdr:cNvPr id="61" name="Rectángulo 60">
          <a:extLst>
            <a:ext uri="{FF2B5EF4-FFF2-40B4-BE49-F238E27FC236}">
              <a16:creationId xmlns:a16="http://schemas.microsoft.com/office/drawing/2014/main" id="{994FF437-B056-41C3-BBD7-EBEC4D7735A0}"/>
            </a:ext>
          </a:extLst>
        </xdr:cNvPr>
        <xdr:cNvSpPr/>
      </xdr:nvSpPr>
      <xdr:spPr>
        <a:xfrm>
          <a:off x="15710218" y="24875490"/>
          <a:ext cx="3363293" cy="530658"/>
        </a:xfrm>
        <a:prstGeom prst="rect">
          <a:avLst/>
        </a:prstGeom>
        <a:noFill/>
      </xdr:spPr>
      <xdr:txBody>
        <a:bodyPr wrap="none" lIns="91440" tIns="45720" rIns="91440" bIns="45720">
          <a:spAutoFit/>
        </a:bodyPr>
        <a:lstStyle/>
        <a:p>
          <a:pPr algn="ctr"/>
          <a:r>
            <a:rPr lang="es-ES" sz="2800" b="1" cap="none" spc="0">
              <a:ln w="0"/>
              <a:solidFill>
                <a:schemeClr val="tx1"/>
              </a:solidFill>
              <a:effectLst>
                <a:reflection blurRad="6350" stA="53000" endA="300" endPos="35500" dir="5400000" sy="-90000" algn="bl" rotWithShape="0"/>
              </a:effectLst>
            </a:rPr>
            <a:t>EJECUCIÓN AL CORTE</a:t>
          </a:r>
        </a:p>
      </xdr:txBody>
    </xdr:sp>
    <xdr:clientData/>
  </xdr:oneCellAnchor>
  <xdr:twoCellAnchor>
    <xdr:from>
      <xdr:col>16</xdr:col>
      <xdr:colOff>133350</xdr:colOff>
      <xdr:row>50</xdr:row>
      <xdr:rowOff>121920</xdr:rowOff>
    </xdr:from>
    <xdr:to>
      <xdr:col>22</xdr:col>
      <xdr:colOff>457200</xdr:colOff>
      <xdr:row>59</xdr:row>
      <xdr:rowOff>902970</xdr:rowOff>
    </xdr:to>
    <xdr:graphicFrame macro="">
      <xdr:nvGraphicFramePr>
        <xdr:cNvPr id="62" name="Gráfico 61">
          <a:extLst>
            <a:ext uri="{FF2B5EF4-FFF2-40B4-BE49-F238E27FC236}">
              <a16:creationId xmlns:a16="http://schemas.microsoft.com/office/drawing/2014/main" id="{C1EDE717-AFF9-4EEA-A78F-DDB951FAD34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17</xdr:col>
      <xdr:colOff>375923</xdr:colOff>
      <xdr:row>47</xdr:row>
      <xdr:rowOff>144780</xdr:rowOff>
    </xdr:from>
    <xdr:ext cx="3170868" cy="530658"/>
    <xdr:sp macro="" textlink="">
      <xdr:nvSpPr>
        <xdr:cNvPr id="63" name="Rectángulo 62">
          <a:extLst>
            <a:ext uri="{FF2B5EF4-FFF2-40B4-BE49-F238E27FC236}">
              <a16:creationId xmlns:a16="http://schemas.microsoft.com/office/drawing/2014/main" id="{C6145EC8-EB74-4683-B253-B0905168252F}"/>
            </a:ext>
          </a:extLst>
        </xdr:cNvPr>
        <xdr:cNvSpPr/>
      </xdr:nvSpPr>
      <xdr:spPr>
        <a:xfrm>
          <a:off x="14381483" y="13068300"/>
          <a:ext cx="3170868" cy="530658"/>
        </a:xfrm>
        <a:prstGeom prst="rect">
          <a:avLst/>
        </a:prstGeom>
        <a:noFill/>
      </xdr:spPr>
      <xdr:txBody>
        <a:bodyPr wrap="none" lIns="91440" tIns="45720" rIns="91440" bIns="45720">
          <a:spAutoFit/>
        </a:bodyPr>
        <a:lstStyle/>
        <a:p>
          <a:pPr algn="ctr"/>
          <a:r>
            <a:rPr lang="es-ES" sz="2800" b="1" cap="none" spc="0">
              <a:ln w="0"/>
              <a:solidFill>
                <a:schemeClr val="tx1"/>
              </a:solidFill>
              <a:effectLst>
                <a:reflection blurRad="6350" stA="53000" endA="300" endPos="35500" dir="5400000" sy="-90000" algn="bl" rotWithShape="0"/>
              </a:effectLst>
            </a:rPr>
            <a:t>PLAN DE GOBIERNO</a:t>
          </a:r>
        </a:p>
      </xdr:txBody>
    </xdr:sp>
    <xdr:clientData/>
  </xdr:oneCellAnchor>
  <xdr:twoCellAnchor>
    <xdr:from>
      <xdr:col>16</xdr:col>
      <xdr:colOff>60960</xdr:colOff>
      <xdr:row>77</xdr:row>
      <xdr:rowOff>152400</xdr:rowOff>
    </xdr:from>
    <xdr:to>
      <xdr:col>23</xdr:col>
      <xdr:colOff>381000</xdr:colOff>
      <xdr:row>108</xdr:row>
      <xdr:rowOff>0</xdr:rowOff>
    </xdr:to>
    <xdr:graphicFrame macro="">
      <xdr:nvGraphicFramePr>
        <xdr:cNvPr id="64" name="1 Gráfico">
          <a:extLst>
            <a:ext uri="{FF2B5EF4-FFF2-40B4-BE49-F238E27FC236}">
              <a16:creationId xmlns:a16="http://schemas.microsoft.com/office/drawing/2014/main" id="{BA1B9E88-02F6-4FE6-A845-439BCDD56DB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289560</xdr:colOff>
      <xdr:row>59</xdr:row>
      <xdr:rowOff>1264920</xdr:rowOff>
    </xdr:from>
    <xdr:to>
      <xdr:col>16</xdr:col>
      <xdr:colOff>548357</xdr:colOff>
      <xdr:row>59</xdr:row>
      <xdr:rowOff>1749164</xdr:rowOff>
    </xdr:to>
    <xdr:sp macro="" textlink="">
      <xdr:nvSpPr>
        <xdr:cNvPr id="59" name="Elipse 58">
          <a:extLst>
            <a:ext uri="{FF2B5EF4-FFF2-40B4-BE49-F238E27FC236}">
              <a16:creationId xmlns:a16="http://schemas.microsoft.com/office/drawing/2014/main" id="{8745AD03-4D0B-4417-98D9-4B423B26C2E7}"/>
            </a:ext>
          </a:extLst>
        </xdr:cNvPr>
        <xdr:cNvSpPr/>
      </xdr:nvSpPr>
      <xdr:spPr>
        <a:xfrm>
          <a:off x="13502640" y="18562320"/>
          <a:ext cx="258797" cy="484244"/>
        </a:xfrm>
        <a:prstGeom prst="ellipse">
          <a:avLst/>
        </a:prstGeom>
        <a:solidFill>
          <a:schemeClr val="accent1"/>
        </a:solidFill>
        <a:scene3d>
          <a:camera prst="orthographicFront"/>
          <a:lightRig rig="threePt" dir="t"/>
        </a:scene3d>
        <a:sp3d>
          <a:bevel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19</xdr:col>
      <xdr:colOff>644692</xdr:colOff>
      <xdr:row>59</xdr:row>
      <xdr:rowOff>1264920</xdr:rowOff>
    </xdr:from>
    <xdr:to>
      <xdr:col>20</xdr:col>
      <xdr:colOff>109732</xdr:colOff>
      <xdr:row>59</xdr:row>
      <xdr:rowOff>1747885</xdr:rowOff>
    </xdr:to>
    <xdr:sp macro="" textlink="">
      <xdr:nvSpPr>
        <xdr:cNvPr id="69" name="Elipse 68">
          <a:extLst>
            <a:ext uri="{FF2B5EF4-FFF2-40B4-BE49-F238E27FC236}">
              <a16:creationId xmlns:a16="http://schemas.microsoft.com/office/drawing/2014/main" id="{76975D8E-0F01-494F-8860-F7C1F70F5F3B}"/>
            </a:ext>
          </a:extLst>
        </xdr:cNvPr>
        <xdr:cNvSpPr/>
      </xdr:nvSpPr>
      <xdr:spPr>
        <a:xfrm>
          <a:off x="16235212" y="18562320"/>
          <a:ext cx="257520" cy="482965"/>
        </a:xfrm>
        <a:prstGeom prst="ellipse">
          <a:avLst/>
        </a:prstGeom>
        <a:solidFill>
          <a:schemeClr val="accent2"/>
        </a:solidFill>
        <a:scene3d>
          <a:camera prst="orthographicFront"/>
          <a:lightRig rig="threePt" dir="t"/>
        </a:scene3d>
        <a:sp3d>
          <a:bevel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28</xdr:col>
      <xdr:colOff>398930</xdr:colOff>
      <xdr:row>25</xdr:row>
      <xdr:rowOff>463364</xdr:rowOff>
    </xdr:from>
    <xdr:to>
      <xdr:col>31</xdr:col>
      <xdr:colOff>2713505</xdr:colOff>
      <xdr:row>34</xdr:row>
      <xdr:rowOff>67236</xdr:rowOff>
    </xdr:to>
    <xdr:graphicFrame macro="">
      <xdr:nvGraphicFramePr>
        <xdr:cNvPr id="49" name="Gráfico 48">
          <a:extLst>
            <a:ext uri="{FF2B5EF4-FFF2-40B4-BE49-F238E27FC236}">
              <a16:creationId xmlns:a16="http://schemas.microsoft.com/office/drawing/2014/main" id="{607AE980-F95B-447A-B356-FC91CEE189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24</xdr:col>
      <xdr:colOff>437797</xdr:colOff>
      <xdr:row>48</xdr:row>
      <xdr:rowOff>381000</xdr:rowOff>
    </xdr:from>
    <xdr:to>
      <xdr:col>28</xdr:col>
      <xdr:colOff>69561</xdr:colOff>
      <xdr:row>60</xdr:row>
      <xdr:rowOff>1714517</xdr:rowOff>
    </xdr:to>
    <xdr:pic>
      <xdr:nvPicPr>
        <xdr:cNvPr id="71" name="Imagen 70">
          <a:extLst>
            <a:ext uri="{FF2B5EF4-FFF2-40B4-BE49-F238E27FC236}">
              <a16:creationId xmlns:a16="http://schemas.microsoft.com/office/drawing/2014/main" id="{EF46612C-FFE7-4A65-B30D-F7808E3EE1C5}"/>
            </a:ext>
          </a:extLst>
        </xdr:cNvPr>
        <xdr:cNvPicPr>
          <a:picLocks noChangeAspect="1"/>
        </xdr:cNvPicPr>
      </xdr:nvPicPr>
      <xdr:blipFill>
        <a:blip xmlns:r="http://schemas.openxmlformats.org/officeDocument/2006/relationships" r:embed="rId6"/>
        <a:stretch>
          <a:fillRect/>
        </a:stretch>
      </xdr:blipFill>
      <xdr:spPr>
        <a:xfrm>
          <a:off x="21126097" y="13792200"/>
          <a:ext cx="9559989" cy="7429517"/>
        </a:xfrm>
        <a:prstGeom prst="rect">
          <a:avLst/>
        </a:prstGeom>
      </xdr:spPr>
    </xdr:pic>
    <xdr:clientData/>
  </xdr:twoCellAnchor>
  <xdr:twoCellAnchor>
    <xdr:from>
      <xdr:col>24</xdr:col>
      <xdr:colOff>457200</xdr:colOff>
      <xdr:row>63</xdr:row>
      <xdr:rowOff>109219</xdr:rowOff>
    </xdr:from>
    <xdr:to>
      <xdr:col>25</xdr:col>
      <xdr:colOff>1421130</xdr:colOff>
      <xdr:row>65</xdr:row>
      <xdr:rowOff>71450</xdr:rowOff>
    </xdr:to>
    <xdr:sp macro="" textlink="">
      <xdr:nvSpPr>
        <xdr:cNvPr id="72" name="Rectángulo redondeado 14">
          <a:extLst>
            <a:ext uri="{FF2B5EF4-FFF2-40B4-BE49-F238E27FC236}">
              <a16:creationId xmlns:a16="http://schemas.microsoft.com/office/drawing/2014/main" id="{66BAB092-C9CA-40DC-8A3F-137B24BFD6D2}"/>
            </a:ext>
          </a:extLst>
        </xdr:cNvPr>
        <xdr:cNvSpPr>
          <a:spLocks noChangeAspect="1"/>
        </xdr:cNvSpPr>
      </xdr:nvSpPr>
      <xdr:spPr>
        <a:xfrm>
          <a:off x="21145500" y="21769069"/>
          <a:ext cx="6164580" cy="533731"/>
        </a:xfrm>
        <a:prstGeom prst="roundRect">
          <a:avLst/>
        </a:prstGeom>
        <a:solidFill>
          <a:srgbClr val="FFFF00"/>
        </a:solidFill>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marL="0" indent="0" algn="ctr"/>
          <a:r>
            <a:rPr lang="es-CO" sz="1500" b="1" cap="none" spc="50">
              <a:ln w="0"/>
              <a:solidFill>
                <a:sysClr val="windowText" lastClr="000000"/>
              </a:solidFill>
              <a:effectLst>
                <a:innerShdw blurRad="63500" dist="50800" dir="13500000">
                  <a:srgbClr val="000000">
                    <a:alpha val="50000"/>
                  </a:srgbClr>
                </a:innerShdw>
              </a:effectLst>
              <a:latin typeface="Century Gothic" panose="020B0502020202020204" pitchFamily="34" charset="0"/>
              <a:ea typeface="+mn-ea"/>
              <a:cs typeface="+mn-cs"/>
            </a:rPr>
            <a:t>ANALÍSIS DEL PERIODO:</a:t>
          </a:r>
        </a:p>
      </xdr:txBody>
    </xdr:sp>
    <xdr:clientData/>
  </xdr:twoCellAnchor>
  <xdr:twoCellAnchor>
    <xdr:from>
      <xdr:col>24</xdr:col>
      <xdr:colOff>4133850</xdr:colOff>
      <xdr:row>13</xdr:row>
      <xdr:rowOff>133350</xdr:rowOff>
    </xdr:from>
    <xdr:to>
      <xdr:col>24</xdr:col>
      <xdr:colOff>4385310</xdr:colOff>
      <xdr:row>39</xdr:row>
      <xdr:rowOff>133350</xdr:rowOff>
    </xdr:to>
    <xdr:sp macro="" textlink="">
      <xdr:nvSpPr>
        <xdr:cNvPr id="73" name="Rectángulo 72">
          <a:extLst>
            <a:ext uri="{FF2B5EF4-FFF2-40B4-BE49-F238E27FC236}">
              <a16:creationId xmlns:a16="http://schemas.microsoft.com/office/drawing/2014/main" id="{1F6731B2-CB90-49B2-A205-02DE79FDDB83}"/>
            </a:ext>
          </a:extLst>
        </xdr:cNvPr>
        <xdr:cNvSpPr/>
      </xdr:nvSpPr>
      <xdr:spPr>
        <a:xfrm>
          <a:off x="23831550" y="2609850"/>
          <a:ext cx="251460" cy="9220200"/>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28</xdr:col>
      <xdr:colOff>400050</xdr:colOff>
      <xdr:row>49</xdr:row>
      <xdr:rowOff>209550</xdr:rowOff>
    </xdr:from>
    <xdr:to>
      <xdr:col>29</xdr:col>
      <xdr:colOff>1333500</xdr:colOff>
      <xdr:row>52</xdr:row>
      <xdr:rowOff>2846</xdr:rowOff>
    </xdr:to>
    <xdr:pic>
      <xdr:nvPicPr>
        <xdr:cNvPr id="78" name="Imagen 77">
          <a:extLst>
            <a:ext uri="{FF2B5EF4-FFF2-40B4-BE49-F238E27FC236}">
              <a16:creationId xmlns:a16="http://schemas.microsoft.com/office/drawing/2014/main" id="{1F37F434-0A37-488D-B292-A4EE9612DBB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9698950" y="14135100"/>
          <a:ext cx="1695450" cy="787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28</xdr:col>
      <xdr:colOff>419100</xdr:colOff>
      <xdr:row>53</xdr:row>
      <xdr:rowOff>0</xdr:rowOff>
    </xdr:from>
    <xdr:to>
      <xdr:col>29</xdr:col>
      <xdr:colOff>1409700</xdr:colOff>
      <xdr:row>55</xdr:row>
      <xdr:rowOff>190875</xdr:rowOff>
    </xdr:to>
    <xdr:pic>
      <xdr:nvPicPr>
        <xdr:cNvPr id="79" name="Imagen 78">
          <a:extLst>
            <a:ext uri="{FF2B5EF4-FFF2-40B4-BE49-F238E27FC236}">
              <a16:creationId xmlns:a16="http://schemas.microsoft.com/office/drawing/2014/main" id="{A8C5FE25-CB48-4693-9FD2-C2A5D3DBE58C}"/>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9718000" y="15392400"/>
          <a:ext cx="1752600" cy="800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28</xdr:col>
      <xdr:colOff>438150</xdr:colOff>
      <xdr:row>57</xdr:row>
      <xdr:rowOff>19050</xdr:rowOff>
    </xdr:from>
    <xdr:to>
      <xdr:col>29</xdr:col>
      <xdr:colOff>1428750</xdr:colOff>
      <xdr:row>58</xdr:row>
      <xdr:rowOff>647700</xdr:rowOff>
    </xdr:to>
    <xdr:pic>
      <xdr:nvPicPr>
        <xdr:cNvPr id="80" name="Imagen 79">
          <a:extLst>
            <a:ext uri="{FF2B5EF4-FFF2-40B4-BE49-F238E27FC236}">
              <a16:creationId xmlns:a16="http://schemas.microsoft.com/office/drawing/2014/main" id="{3C16E725-FD9E-495D-B3EE-5ACE8F2B0DD7}"/>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9737050" y="16706850"/>
          <a:ext cx="1752600" cy="857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28</xdr:col>
      <xdr:colOff>457200</xdr:colOff>
      <xdr:row>59</xdr:row>
      <xdr:rowOff>323849</xdr:rowOff>
    </xdr:from>
    <xdr:to>
      <xdr:col>29</xdr:col>
      <xdr:colOff>1428750</xdr:colOff>
      <xdr:row>59</xdr:row>
      <xdr:rowOff>1162050</xdr:rowOff>
    </xdr:to>
    <xdr:pic>
      <xdr:nvPicPr>
        <xdr:cNvPr id="81" name="Imagen 80">
          <a:extLst>
            <a:ext uri="{FF2B5EF4-FFF2-40B4-BE49-F238E27FC236}">
              <a16:creationId xmlns:a16="http://schemas.microsoft.com/office/drawing/2014/main" id="{E5070C53-A178-42EC-8598-98D7585C3FB4}"/>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9756100" y="17926049"/>
          <a:ext cx="1733550" cy="8382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20</xdr:col>
      <xdr:colOff>182880</xdr:colOff>
      <xdr:row>59</xdr:row>
      <xdr:rowOff>1249680</xdr:rowOff>
    </xdr:from>
    <xdr:to>
      <xdr:col>22</xdr:col>
      <xdr:colOff>563880</xdr:colOff>
      <xdr:row>59</xdr:row>
      <xdr:rowOff>1691640</xdr:rowOff>
    </xdr:to>
    <xdr:sp macro="" textlink="">
      <xdr:nvSpPr>
        <xdr:cNvPr id="19" name="Rectángulo 18">
          <a:extLst>
            <a:ext uri="{FF2B5EF4-FFF2-40B4-BE49-F238E27FC236}">
              <a16:creationId xmlns:a16="http://schemas.microsoft.com/office/drawing/2014/main" id="{A85C2CEB-50C7-4977-AAFD-43ACA52829F5}"/>
            </a:ext>
          </a:extLst>
        </xdr:cNvPr>
        <xdr:cNvSpPr/>
      </xdr:nvSpPr>
      <xdr:spPr>
        <a:xfrm>
          <a:off x="16565880" y="18547080"/>
          <a:ext cx="1965960" cy="441960"/>
        </a:xfrm>
        <a:prstGeom prst="rect">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2400" b="1">
              <a:solidFill>
                <a:srgbClr val="FFFF00"/>
              </a:solidFill>
            </a:rPr>
            <a:t>EJECUTADO</a:t>
          </a:r>
        </a:p>
      </xdr:txBody>
    </xdr:sp>
    <xdr:clientData/>
  </xdr:twoCellAnchor>
  <xdr:twoCellAnchor>
    <xdr:from>
      <xdr:col>16</xdr:col>
      <xdr:colOff>594360</xdr:colOff>
      <xdr:row>59</xdr:row>
      <xdr:rowOff>1234440</xdr:rowOff>
    </xdr:from>
    <xdr:to>
      <xdr:col>19</xdr:col>
      <xdr:colOff>502920</xdr:colOff>
      <xdr:row>59</xdr:row>
      <xdr:rowOff>1691640</xdr:rowOff>
    </xdr:to>
    <xdr:sp macro="" textlink="">
      <xdr:nvSpPr>
        <xdr:cNvPr id="87" name="Rectángulo 86">
          <a:extLst>
            <a:ext uri="{FF2B5EF4-FFF2-40B4-BE49-F238E27FC236}">
              <a16:creationId xmlns:a16="http://schemas.microsoft.com/office/drawing/2014/main" id="{13A5994A-13AB-4088-B81E-2B9079E53F3C}"/>
            </a:ext>
          </a:extLst>
        </xdr:cNvPr>
        <xdr:cNvSpPr/>
      </xdr:nvSpPr>
      <xdr:spPr>
        <a:xfrm>
          <a:off x="13807440" y="18531840"/>
          <a:ext cx="2286000" cy="457200"/>
        </a:xfrm>
        <a:prstGeom prst="rect">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2400" b="1">
              <a:solidFill>
                <a:srgbClr val="FFFF00"/>
              </a:solidFill>
            </a:rPr>
            <a:t>PROGRAMADO</a:t>
          </a:r>
        </a:p>
      </xdr:txBody>
    </xdr:sp>
    <xdr:clientData/>
  </xdr:twoCellAnchor>
  <xdr:twoCellAnchor>
    <xdr:from>
      <xdr:col>18</xdr:col>
      <xdr:colOff>19050</xdr:colOff>
      <xdr:row>109</xdr:row>
      <xdr:rowOff>19050</xdr:rowOff>
    </xdr:from>
    <xdr:to>
      <xdr:col>20</xdr:col>
      <xdr:colOff>720090</xdr:colOff>
      <xdr:row>110</xdr:row>
      <xdr:rowOff>194310</xdr:rowOff>
    </xdr:to>
    <xdr:sp macro="" textlink="">
      <xdr:nvSpPr>
        <xdr:cNvPr id="88" name="Rectángulo 87">
          <a:extLst>
            <a:ext uri="{FF2B5EF4-FFF2-40B4-BE49-F238E27FC236}">
              <a16:creationId xmlns:a16="http://schemas.microsoft.com/office/drawing/2014/main" id="{2A033194-96C1-4646-ABBF-E1CA698283A8}"/>
            </a:ext>
          </a:extLst>
        </xdr:cNvPr>
        <xdr:cNvSpPr/>
      </xdr:nvSpPr>
      <xdr:spPr>
        <a:xfrm>
          <a:off x="15906750" y="33470850"/>
          <a:ext cx="2301240" cy="441960"/>
        </a:xfrm>
        <a:prstGeom prst="rect">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2400" b="1">
              <a:solidFill>
                <a:srgbClr val="FFFF00"/>
              </a:solidFill>
            </a:rPr>
            <a:t>PROGRAMADO</a:t>
          </a:r>
        </a:p>
      </xdr:txBody>
    </xdr:sp>
    <xdr:clientData/>
  </xdr:twoCellAnchor>
  <xdr:twoCellAnchor>
    <xdr:from>
      <xdr:col>18</xdr:col>
      <xdr:colOff>87630</xdr:colOff>
      <xdr:row>111</xdr:row>
      <xdr:rowOff>156210</xdr:rowOff>
    </xdr:from>
    <xdr:to>
      <xdr:col>20</xdr:col>
      <xdr:colOff>468630</xdr:colOff>
      <xdr:row>113</xdr:row>
      <xdr:rowOff>125730</xdr:rowOff>
    </xdr:to>
    <xdr:sp macro="" textlink="">
      <xdr:nvSpPr>
        <xdr:cNvPr id="89" name="Rectángulo 88">
          <a:extLst>
            <a:ext uri="{FF2B5EF4-FFF2-40B4-BE49-F238E27FC236}">
              <a16:creationId xmlns:a16="http://schemas.microsoft.com/office/drawing/2014/main" id="{EC22777A-40FA-4FE5-AB69-2DA1C1C438D6}"/>
            </a:ext>
          </a:extLst>
        </xdr:cNvPr>
        <xdr:cNvSpPr/>
      </xdr:nvSpPr>
      <xdr:spPr>
        <a:xfrm>
          <a:off x="15975330" y="34141410"/>
          <a:ext cx="1981200" cy="426720"/>
        </a:xfrm>
        <a:prstGeom prst="rect">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2400" b="1">
              <a:solidFill>
                <a:srgbClr val="FFFF00"/>
              </a:solidFill>
            </a:rPr>
            <a:t>EJECUTADO</a:t>
          </a:r>
        </a:p>
      </xdr:txBody>
    </xdr:sp>
    <xdr:clientData/>
  </xdr:twoCellAnchor>
  <xdr:twoCellAnchor>
    <xdr:from>
      <xdr:col>16</xdr:col>
      <xdr:colOff>739140</xdr:colOff>
      <xdr:row>109</xdr:row>
      <xdr:rowOff>26670</xdr:rowOff>
    </xdr:from>
    <xdr:to>
      <xdr:col>17</xdr:col>
      <xdr:colOff>266700</xdr:colOff>
      <xdr:row>110</xdr:row>
      <xdr:rowOff>87630</xdr:rowOff>
    </xdr:to>
    <xdr:sp macro="" textlink="">
      <xdr:nvSpPr>
        <xdr:cNvPr id="90" name="Elipse 89">
          <a:extLst>
            <a:ext uri="{FF2B5EF4-FFF2-40B4-BE49-F238E27FC236}">
              <a16:creationId xmlns:a16="http://schemas.microsoft.com/office/drawing/2014/main" id="{BD50459D-32DB-498C-BD6D-7BB43A32E18D}"/>
            </a:ext>
          </a:extLst>
        </xdr:cNvPr>
        <xdr:cNvSpPr/>
      </xdr:nvSpPr>
      <xdr:spPr>
        <a:xfrm>
          <a:off x="15026640" y="33478470"/>
          <a:ext cx="327660" cy="327660"/>
        </a:xfrm>
        <a:prstGeom prst="ellipse">
          <a:avLst/>
        </a:prstGeom>
        <a:solidFill>
          <a:schemeClr val="accent1"/>
        </a:solidFill>
        <a:scene3d>
          <a:camera prst="orthographicFront"/>
          <a:lightRig rig="threePt" dir="t"/>
        </a:scene3d>
        <a:sp3d>
          <a:bevel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16</xdr:col>
      <xdr:colOff>701040</xdr:colOff>
      <xdr:row>111</xdr:row>
      <xdr:rowOff>240031</xdr:rowOff>
    </xdr:from>
    <xdr:to>
      <xdr:col>17</xdr:col>
      <xdr:colOff>243840</xdr:colOff>
      <xdr:row>113</xdr:row>
      <xdr:rowOff>133350</xdr:rowOff>
    </xdr:to>
    <xdr:sp macro="" textlink="">
      <xdr:nvSpPr>
        <xdr:cNvPr id="91" name="Elipse 90">
          <a:extLst>
            <a:ext uri="{FF2B5EF4-FFF2-40B4-BE49-F238E27FC236}">
              <a16:creationId xmlns:a16="http://schemas.microsoft.com/office/drawing/2014/main" id="{8958A999-4E61-4705-B437-D60EEDCE0B97}"/>
            </a:ext>
          </a:extLst>
        </xdr:cNvPr>
        <xdr:cNvSpPr/>
      </xdr:nvSpPr>
      <xdr:spPr>
        <a:xfrm>
          <a:off x="14988540" y="34225231"/>
          <a:ext cx="342900" cy="350519"/>
        </a:xfrm>
        <a:prstGeom prst="ellipse">
          <a:avLst/>
        </a:prstGeom>
        <a:solidFill>
          <a:schemeClr val="accent2"/>
        </a:solidFill>
        <a:scene3d>
          <a:camera prst="orthographicFront"/>
          <a:lightRig rig="threePt" dir="t"/>
        </a:scene3d>
        <a:sp3d>
          <a:bevel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oneCellAnchor>
    <xdr:from>
      <xdr:col>28</xdr:col>
      <xdr:colOff>323850</xdr:colOff>
      <xdr:row>49</xdr:row>
      <xdr:rowOff>201930</xdr:rowOff>
    </xdr:from>
    <xdr:ext cx="1921608" cy="796927"/>
    <xdr:sp macro="" textlink="'FORMULAS%'!A37">
      <xdr:nvSpPr>
        <xdr:cNvPr id="74" name="CuadroTexto 73">
          <a:extLst>
            <a:ext uri="{FF2B5EF4-FFF2-40B4-BE49-F238E27FC236}">
              <a16:creationId xmlns:a16="http://schemas.microsoft.com/office/drawing/2014/main" id="{D9B3FF20-4975-494C-A821-DACD7FB21804}"/>
            </a:ext>
          </a:extLst>
        </xdr:cNvPr>
        <xdr:cNvSpPr txBox="1"/>
      </xdr:nvSpPr>
      <xdr:spPr>
        <a:xfrm>
          <a:off x="30632400" y="1412748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2973FB16-DDFD-4F34-B7F5-818EED31B099}" type="TxLink">
            <a:rPr lang="en-US" sz="4400" b="1" i="0" u="none" strike="noStrike">
              <a:solidFill>
                <a:srgbClr val="FFFF00"/>
              </a:solidFill>
              <a:latin typeface="Calibri"/>
              <a:ea typeface="+mn-ea"/>
              <a:cs typeface="Calibri"/>
            </a:rPr>
            <a:pPr marL="0" indent="0" algn="ctr"/>
            <a:t>43%</a:t>
          </a:fld>
          <a:endParaRPr lang="es-CO" sz="19900" b="1" i="0" u="none" strike="noStrike">
            <a:solidFill>
              <a:srgbClr val="FFFF00"/>
            </a:solidFill>
            <a:latin typeface="Arial Narrow" panose="020B0606020202030204" pitchFamily="34" charset="0"/>
            <a:ea typeface="+mn-ea"/>
            <a:cs typeface="Calibri"/>
          </a:endParaRPr>
        </a:p>
      </xdr:txBody>
    </xdr:sp>
    <xdr:clientData/>
  </xdr:oneCellAnchor>
  <xdr:oneCellAnchor>
    <xdr:from>
      <xdr:col>28</xdr:col>
      <xdr:colOff>323850</xdr:colOff>
      <xdr:row>52</xdr:row>
      <xdr:rowOff>449580</xdr:rowOff>
    </xdr:from>
    <xdr:ext cx="1921608" cy="796927"/>
    <xdr:sp macro="" textlink="'FORMULAS%'!A38">
      <xdr:nvSpPr>
        <xdr:cNvPr id="75" name="CuadroTexto 74">
          <a:extLst>
            <a:ext uri="{FF2B5EF4-FFF2-40B4-BE49-F238E27FC236}">
              <a16:creationId xmlns:a16="http://schemas.microsoft.com/office/drawing/2014/main" id="{253A0F44-631C-40B3-908C-1DD7735DBD0A}"/>
            </a:ext>
          </a:extLst>
        </xdr:cNvPr>
        <xdr:cNvSpPr txBox="1"/>
      </xdr:nvSpPr>
      <xdr:spPr>
        <a:xfrm>
          <a:off x="30632400" y="1538478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90E5E44C-4332-4748-B1F5-6256E4518B65}" type="TxLink">
            <a:rPr lang="en-US" sz="4400" b="1" i="0" u="none" strike="noStrike">
              <a:solidFill>
                <a:srgbClr val="FFFF00"/>
              </a:solidFill>
              <a:latin typeface="Calibri"/>
              <a:ea typeface="+mn-ea"/>
              <a:cs typeface="Calibri"/>
            </a:rPr>
            <a:pPr marL="0" indent="0" algn="ctr"/>
            <a:t>69%</a:t>
          </a:fld>
          <a:endParaRPr lang="es-CO" sz="148100" b="1" i="0" u="none" strike="noStrike">
            <a:solidFill>
              <a:srgbClr val="FFFF00"/>
            </a:solidFill>
            <a:latin typeface="Arial Narrow" panose="020B0606020202030204" pitchFamily="34" charset="0"/>
            <a:ea typeface="+mn-ea"/>
            <a:cs typeface="Calibri"/>
          </a:endParaRPr>
        </a:p>
      </xdr:txBody>
    </xdr:sp>
    <xdr:clientData/>
  </xdr:oneCellAnchor>
  <xdr:oneCellAnchor>
    <xdr:from>
      <xdr:col>28</xdr:col>
      <xdr:colOff>361950</xdr:colOff>
      <xdr:row>57</xdr:row>
      <xdr:rowOff>49530</xdr:rowOff>
    </xdr:from>
    <xdr:ext cx="1921608" cy="796927"/>
    <xdr:sp macro="" textlink="'FORMULAS%'!A39">
      <xdr:nvSpPr>
        <xdr:cNvPr id="76" name="CuadroTexto 75">
          <a:extLst>
            <a:ext uri="{FF2B5EF4-FFF2-40B4-BE49-F238E27FC236}">
              <a16:creationId xmlns:a16="http://schemas.microsoft.com/office/drawing/2014/main" id="{57344301-F303-478F-BFF6-F1FB35DAB9F8}"/>
            </a:ext>
          </a:extLst>
        </xdr:cNvPr>
        <xdr:cNvSpPr txBox="1"/>
      </xdr:nvSpPr>
      <xdr:spPr>
        <a:xfrm>
          <a:off x="30670500" y="1673733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922CE0B8-7757-4AD4-A16F-FE8EB8E49334}" type="TxLink">
            <a:rPr lang="en-US" sz="4400" b="1" i="0" u="none" strike="noStrike">
              <a:solidFill>
                <a:srgbClr val="FFFF00"/>
              </a:solidFill>
              <a:latin typeface="Calibri"/>
              <a:ea typeface="+mn-ea"/>
              <a:cs typeface="Calibri"/>
            </a:rPr>
            <a:pPr marL="0" indent="0" algn="ctr"/>
            <a:t>46%</a:t>
          </a:fld>
          <a:endParaRPr lang="es-CO" sz="4400" b="1" i="0" u="none" strike="noStrike">
            <a:solidFill>
              <a:srgbClr val="FFFF00"/>
            </a:solidFill>
            <a:latin typeface="Arial Narrow" panose="020B0606020202030204" pitchFamily="34" charset="0"/>
            <a:ea typeface="+mn-ea"/>
            <a:cs typeface="Calibri"/>
          </a:endParaRPr>
        </a:p>
      </xdr:txBody>
    </xdr:sp>
    <xdr:clientData/>
  </xdr:oneCellAnchor>
  <xdr:oneCellAnchor>
    <xdr:from>
      <xdr:col>28</xdr:col>
      <xdr:colOff>381000</xdr:colOff>
      <xdr:row>59</xdr:row>
      <xdr:rowOff>373380</xdr:rowOff>
    </xdr:from>
    <xdr:ext cx="1921608" cy="796927"/>
    <xdr:sp macro="" textlink="'FORMULAS%'!A40">
      <xdr:nvSpPr>
        <xdr:cNvPr id="77" name="CuadroTexto 76">
          <a:extLst>
            <a:ext uri="{FF2B5EF4-FFF2-40B4-BE49-F238E27FC236}">
              <a16:creationId xmlns:a16="http://schemas.microsoft.com/office/drawing/2014/main" id="{52E5BC15-F81C-4611-B186-9421B46F0F12}"/>
            </a:ext>
          </a:extLst>
        </xdr:cNvPr>
        <xdr:cNvSpPr txBox="1"/>
      </xdr:nvSpPr>
      <xdr:spPr>
        <a:xfrm>
          <a:off x="30689550" y="1797558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E724B63C-CC8C-4273-BFC6-68F294AD0930}" type="TxLink">
            <a:rPr lang="en-US" sz="4400" b="1" i="0" u="none" strike="noStrike">
              <a:solidFill>
                <a:srgbClr val="FFFF00"/>
              </a:solidFill>
              <a:latin typeface="Calibri"/>
              <a:ea typeface="+mn-ea"/>
              <a:cs typeface="Calibri"/>
            </a:rPr>
            <a:pPr marL="0" indent="0" algn="ctr"/>
            <a:t>46%</a:t>
          </a:fld>
          <a:endParaRPr lang="es-CO" sz="4400" b="1" i="0" u="none" strike="noStrike">
            <a:solidFill>
              <a:srgbClr val="FFFF00"/>
            </a:solidFill>
            <a:latin typeface="Arial Narrow" panose="020B0606020202030204" pitchFamily="34" charset="0"/>
            <a:ea typeface="+mn-ea"/>
            <a:cs typeface="Calibri"/>
          </a:endParaRPr>
        </a:p>
      </xdr:txBody>
    </xdr:sp>
    <xdr:clientData/>
  </xdr:oneCellAnchor>
  <xdr:oneCellAnchor>
    <xdr:from>
      <xdr:col>15</xdr:col>
      <xdr:colOff>190500</xdr:colOff>
      <xdr:row>1</xdr:row>
      <xdr:rowOff>114300</xdr:rowOff>
    </xdr:from>
    <xdr:ext cx="11620500" cy="1125501"/>
    <xdr:sp macro="" textlink="">
      <xdr:nvSpPr>
        <xdr:cNvPr id="4" name="CuadroTexto 3">
          <a:extLst>
            <a:ext uri="{FF2B5EF4-FFF2-40B4-BE49-F238E27FC236}">
              <a16:creationId xmlns:a16="http://schemas.microsoft.com/office/drawing/2014/main" id="{9C4C5A02-A5CD-4925-B98F-1920093FE467}"/>
            </a:ext>
          </a:extLst>
        </xdr:cNvPr>
        <xdr:cNvSpPr txBox="1"/>
      </xdr:nvSpPr>
      <xdr:spPr>
        <a:xfrm>
          <a:off x="13506450" y="304800"/>
          <a:ext cx="11620500" cy="11255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6600" b="1"/>
            <a:t>SECRETARÍA JURÍDICA</a:t>
          </a:r>
          <a:r>
            <a:rPr lang="es-CO" sz="6600" b="1" baseline="0"/>
            <a:t> DISTRITAL</a:t>
          </a:r>
          <a:endParaRPr lang="es-CO" sz="6600" b="1"/>
        </a:p>
      </xdr:txBody>
    </xdr:sp>
    <xdr:clientData/>
  </xdr:oneCellAnchor>
  <xdr:oneCellAnchor>
    <xdr:from>
      <xdr:col>24</xdr:col>
      <xdr:colOff>1562100</xdr:colOff>
      <xdr:row>14</xdr:row>
      <xdr:rowOff>19050</xdr:rowOff>
    </xdr:from>
    <xdr:ext cx="1863728" cy="796927"/>
    <xdr:sp macro="" textlink="'FORMULAS%'!E20">
      <xdr:nvSpPr>
        <xdr:cNvPr id="9" name="CuadroTexto 8">
          <a:extLst>
            <a:ext uri="{FF2B5EF4-FFF2-40B4-BE49-F238E27FC236}">
              <a16:creationId xmlns:a16="http://schemas.microsoft.com/office/drawing/2014/main" id="{18E0410C-803C-4CE4-9E46-37D5652C6963}"/>
            </a:ext>
          </a:extLst>
        </xdr:cNvPr>
        <xdr:cNvSpPr txBox="1"/>
      </xdr:nvSpPr>
      <xdr:spPr>
        <a:xfrm>
          <a:off x="22593300" y="2686050"/>
          <a:ext cx="186372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98E5AEA7-1FDD-4C4D-A3EA-FE1742FFE46D}" type="TxLink">
            <a:rPr lang="en-US" sz="4000" b="1" i="0" u="none" strike="noStrike">
              <a:solidFill>
                <a:srgbClr val="000000"/>
              </a:solidFill>
              <a:latin typeface="Calibri"/>
              <a:ea typeface="+mn-ea"/>
              <a:cs typeface="Calibri"/>
            </a:rPr>
            <a:pPr marL="0" indent="0" algn="ctr"/>
            <a:t>93,8%</a:t>
          </a:fld>
          <a:endParaRPr lang="es-CO" sz="102800" b="1" i="0" u="none" strike="noStrike">
            <a:solidFill>
              <a:schemeClr val="bg2">
                <a:lumMod val="10000"/>
              </a:schemeClr>
            </a:solidFill>
            <a:latin typeface="Arial Narrow" panose="020B0606020202030204" pitchFamily="34" charset="0"/>
            <a:ea typeface="+mn-ea"/>
            <a:cs typeface="Calibri"/>
          </a:endParaRPr>
        </a:p>
      </xdr:txBody>
    </xdr:sp>
    <xdr:clientData/>
  </xdr:oneCellAnchor>
  <xdr:oneCellAnchor>
    <xdr:from>
      <xdr:col>8</xdr:col>
      <xdr:colOff>762000</xdr:colOff>
      <xdr:row>13</xdr:row>
      <xdr:rowOff>152400</xdr:rowOff>
    </xdr:from>
    <xdr:ext cx="1863728" cy="796927"/>
    <xdr:sp macro="" textlink="'FORMULAS%'!G27">
      <xdr:nvSpPr>
        <xdr:cNvPr id="35" name="CuadroTexto 34">
          <a:extLst>
            <a:ext uri="{FF2B5EF4-FFF2-40B4-BE49-F238E27FC236}">
              <a16:creationId xmlns:a16="http://schemas.microsoft.com/office/drawing/2014/main" id="{3444AAEB-F2C6-458B-819D-869B36933132}"/>
            </a:ext>
          </a:extLst>
        </xdr:cNvPr>
        <xdr:cNvSpPr txBox="1"/>
      </xdr:nvSpPr>
      <xdr:spPr>
        <a:xfrm>
          <a:off x="8267700" y="2628900"/>
          <a:ext cx="186372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36E0A15F-4F09-4D92-A653-15A5B7B0FCEE}" type="TxLink">
            <a:rPr lang="en-US" sz="4000" b="1" i="0" u="none" strike="noStrike">
              <a:solidFill>
                <a:srgbClr val="000000"/>
              </a:solidFill>
              <a:latin typeface="Calibri"/>
              <a:ea typeface="+mn-ea"/>
              <a:cs typeface="Calibri"/>
            </a:rPr>
            <a:pPr marL="0" indent="0" algn="ctr"/>
            <a:t>89,4%</a:t>
          </a:fld>
          <a:endParaRPr lang="es-CO" sz="102800" b="1" i="0" u="none" strike="noStrike">
            <a:solidFill>
              <a:schemeClr val="bg2">
                <a:lumMod val="10000"/>
              </a:schemeClr>
            </a:solidFill>
            <a:latin typeface="Arial Narrow" panose="020B0606020202030204" pitchFamily="34" charset="0"/>
            <a:ea typeface="+mn-ea"/>
            <a:cs typeface="Calibri"/>
          </a:endParaRPr>
        </a:p>
      </xdr:txBody>
    </xdr:sp>
    <xdr:clientData/>
  </xdr:oneCellAnchor>
  <xdr:twoCellAnchor>
    <xdr:from>
      <xdr:col>24</xdr:col>
      <xdr:colOff>4551643</xdr:colOff>
      <xdr:row>25</xdr:row>
      <xdr:rowOff>470648</xdr:rowOff>
    </xdr:from>
    <xdr:to>
      <xdr:col>28</xdr:col>
      <xdr:colOff>142688</xdr:colOff>
      <xdr:row>33</xdr:row>
      <xdr:rowOff>1550522</xdr:rowOff>
    </xdr:to>
    <xdr:graphicFrame macro="">
      <xdr:nvGraphicFramePr>
        <xdr:cNvPr id="82" name="Gráfico 81">
          <a:extLst>
            <a:ext uri="{FF2B5EF4-FFF2-40B4-BE49-F238E27FC236}">
              <a16:creationId xmlns:a16="http://schemas.microsoft.com/office/drawing/2014/main" id="{1C2FDDFF-8F8F-45D3-AB48-233211283F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0</xdr:colOff>
      <xdr:row>19</xdr:row>
      <xdr:rowOff>101600</xdr:rowOff>
    </xdr:from>
    <xdr:to>
      <xdr:col>8</xdr:col>
      <xdr:colOff>326108</xdr:colOff>
      <xdr:row>33</xdr:row>
      <xdr:rowOff>962519</xdr:rowOff>
    </xdr:to>
    <xdr:graphicFrame macro="">
      <xdr:nvGraphicFramePr>
        <xdr:cNvPr id="41" name="Gráfico 40">
          <a:extLst>
            <a:ext uri="{FF2B5EF4-FFF2-40B4-BE49-F238E27FC236}">
              <a16:creationId xmlns:a16="http://schemas.microsoft.com/office/drawing/2014/main" id="{BD674F85-BE10-41A9-B6E2-4BDFFFF6E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0</xdr:colOff>
      <xdr:row>31</xdr:row>
      <xdr:rowOff>152400</xdr:rowOff>
    </xdr:from>
    <xdr:to>
      <xdr:col>8</xdr:col>
      <xdr:colOff>314960</xdr:colOff>
      <xdr:row>45</xdr:row>
      <xdr:rowOff>163830</xdr:rowOff>
    </xdr:to>
    <xdr:graphicFrame macro="">
      <xdr:nvGraphicFramePr>
        <xdr:cNvPr id="48" name="Gráfico 47">
          <a:extLst>
            <a:ext uri="{FF2B5EF4-FFF2-40B4-BE49-F238E27FC236}">
              <a16:creationId xmlns:a16="http://schemas.microsoft.com/office/drawing/2014/main" id="{67911C08-CCFD-4847-A25A-E83F734E92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13</xdr:col>
      <xdr:colOff>152400</xdr:colOff>
      <xdr:row>32</xdr:row>
      <xdr:rowOff>355600</xdr:rowOff>
    </xdr:from>
    <xdr:to>
      <xdr:col>23</xdr:col>
      <xdr:colOff>177800</xdr:colOff>
      <xdr:row>45</xdr:row>
      <xdr:rowOff>50800</xdr:rowOff>
    </xdr:to>
    <xdr:graphicFrame macro="">
      <xdr:nvGraphicFramePr>
        <xdr:cNvPr id="51" name="Gráfico 50">
          <a:extLst>
            <a:ext uri="{FF2B5EF4-FFF2-40B4-BE49-F238E27FC236}">
              <a16:creationId xmlns:a16="http://schemas.microsoft.com/office/drawing/2014/main" id="{134CEA88-9113-485D-9F72-238A2C87D4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13</xdr:col>
      <xdr:colOff>584200</xdr:colOff>
      <xdr:row>21</xdr:row>
      <xdr:rowOff>76200</xdr:rowOff>
    </xdr:from>
    <xdr:to>
      <xdr:col>22</xdr:col>
      <xdr:colOff>533400</xdr:colOff>
      <xdr:row>33</xdr:row>
      <xdr:rowOff>787400</xdr:rowOff>
    </xdr:to>
    <xdr:graphicFrame macro="">
      <xdr:nvGraphicFramePr>
        <xdr:cNvPr id="52" name="Gráfico 51">
          <a:extLst>
            <a:ext uri="{FF2B5EF4-FFF2-40B4-BE49-F238E27FC236}">
              <a16:creationId xmlns:a16="http://schemas.microsoft.com/office/drawing/2014/main" id="{BA094ACB-9E8C-413E-92F0-26B86FE200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0.40872</cdr:x>
      <cdr:y>0.44898</cdr:y>
    </cdr:from>
    <cdr:to>
      <cdr:x>0.624</cdr:x>
      <cdr:y>0.5455</cdr:y>
    </cdr:to>
    <cdr:sp macro="" textlink="[4]PLANES!$F$4">
      <cdr:nvSpPr>
        <cdr:cNvPr id="8" name="Retraso 4"/>
        <cdr:cNvSpPr/>
      </cdr:nvSpPr>
      <cdr:spPr>
        <a:xfrm xmlns:a="http://schemas.openxmlformats.org/drawingml/2006/main" rot="16200000">
          <a:off x="3510313" y="2012877"/>
          <a:ext cx="543766" cy="1576867"/>
        </a:xfrm>
        <a:prstGeom xmlns:a="http://schemas.openxmlformats.org/drawingml/2006/main" prst="flowChartDelay">
          <a:avLst/>
        </a:prstGeom>
        <a:gradFill xmlns:a="http://schemas.openxmlformats.org/drawingml/2006/main" flip="none" rotWithShape="1">
          <a:gsLst>
            <a:gs pos="44000">
              <a:schemeClr val="tx1"/>
            </a:gs>
            <a:gs pos="100000">
              <a:schemeClr val="accent1">
                <a:lumMod val="30000"/>
                <a:lumOff val="70000"/>
              </a:schemeClr>
            </a:gs>
          </a:gsLst>
          <a:lin ang="0" scaled="1"/>
          <a:tileRect/>
        </a:gra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vert="vert" anchor="ctr" anchorCtr="1"/>
        <a:lstStyle xmlns:a="http://schemas.openxmlformats.org/drawingml/2006/main"/>
        <a:p xmlns:a="http://schemas.openxmlformats.org/drawingml/2006/main">
          <a:fld id="{618A36CC-B24F-4A1E-B021-1EE38DD75E58}" type="TxLink">
            <a:rPr lang="en-US" sz="2400" b="1" i="0" u="none" strike="noStrike">
              <a:solidFill>
                <a:schemeClr val="bg1"/>
              </a:solidFill>
              <a:latin typeface="Arial"/>
              <a:cs typeface="Arial"/>
            </a:rPr>
            <a:pPr/>
            <a:t>#¡REF!</a:t>
          </a:fld>
          <a:endParaRPr lang="es-CO" sz="4400" b="1">
            <a:solidFill>
              <a:schemeClr val="bg1"/>
            </a:solidFill>
          </a:endParaRPr>
        </a:p>
      </cdr:txBody>
    </cdr:sp>
  </cdr:relSizeAnchor>
  <cdr:relSizeAnchor xmlns:cdr="http://schemas.openxmlformats.org/drawingml/2006/chartDrawing">
    <cdr:from>
      <cdr:x>0.366</cdr:x>
      <cdr:y>0.57047</cdr:y>
    </cdr:from>
    <cdr:to>
      <cdr:x>0.49963</cdr:x>
      <cdr:y>0.74305</cdr:y>
    </cdr:to>
    <cdr:sp macro="" textlink="">
      <cdr:nvSpPr>
        <cdr:cNvPr id="3" name="CuadroTexto 1">
          <a:extLst xmlns:a="http://schemas.openxmlformats.org/drawingml/2006/main">
            <a:ext uri="{FF2B5EF4-FFF2-40B4-BE49-F238E27FC236}">
              <a16:creationId xmlns:a16="http://schemas.microsoft.com/office/drawing/2014/main" id="{D4254660-9F94-4489-A3F3-1A5568C7F478}"/>
            </a:ext>
          </a:extLst>
        </cdr:cNvPr>
        <cdr:cNvSpPr txBox="1"/>
      </cdr:nvSpPr>
      <cdr:spPr>
        <a:xfrm xmlns:a="http://schemas.openxmlformats.org/drawingml/2006/main">
          <a:off x="2504440" y="3022600"/>
          <a:ext cx="914400" cy="9144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O" sz="1800" b="1">
              <a:solidFill>
                <a:schemeClr val="bg1"/>
              </a:solidFill>
              <a:latin typeface="Century Gothic" panose="020B0502020202020204" pitchFamily="34" charset="0"/>
            </a:rPr>
            <a:t>PLAN DE </a:t>
          </a:r>
          <a:r>
            <a:rPr lang="es-CO" sz="1800" b="1" baseline="0">
              <a:solidFill>
                <a:schemeClr val="bg1"/>
              </a:solidFill>
              <a:latin typeface="Century Gothic" panose="020B0502020202020204" pitchFamily="34" charset="0"/>
            </a:rPr>
            <a:t>GESTIÓN</a:t>
          </a:r>
          <a:endParaRPr lang="es-CO" sz="1100" b="1">
            <a:solidFill>
              <a:schemeClr val="bg1"/>
            </a:solidFill>
            <a:latin typeface="Century Gothic" panose="020B0502020202020204" pitchFamily="34" charset="0"/>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0.40872</cdr:x>
      <cdr:y>0.44898</cdr:y>
    </cdr:from>
    <cdr:to>
      <cdr:x>0.624</cdr:x>
      <cdr:y>0.5455</cdr:y>
    </cdr:to>
    <cdr:sp macro="" textlink="[4]PLANES!$F$4">
      <cdr:nvSpPr>
        <cdr:cNvPr id="8" name="Retraso 4"/>
        <cdr:cNvSpPr/>
      </cdr:nvSpPr>
      <cdr:spPr>
        <a:xfrm xmlns:a="http://schemas.openxmlformats.org/drawingml/2006/main" rot="16200000">
          <a:off x="3510313" y="2012877"/>
          <a:ext cx="543766" cy="1576867"/>
        </a:xfrm>
        <a:prstGeom xmlns:a="http://schemas.openxmlformats.org/drawingml/2006/main" prst="flowChartDelay">
          <a:avLst/>
        </a:prstGeom>
        <a:gradFill xmlns:a="http://schemas.openxmlformats.org/drawingml/2006/main" flip="none" rotWithShape="1">
          <a:gsLst>
            <a:gs pos="44000">
              <a:schemeClr val="tx1"/>
            </a:gs>
            <a:gs pos="100000">
              <a:schemeClr val="accent1">
                <a:lumMod val="30000"/>
                <a:lumOff val="70000"/>
              </a:schemeClr>
            </a:gs>
          </a:gsLst>
          <a:lin ang="0" scaled="1"/>
          <a:tileRect/>
        </a:gra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vert="vert" anchor="ctr" anchorCtr="1"/>
        <a:lstStyle xmlns:a="http://schemas.openxmlformats.org/drawingml/2006/main"/>
        <a:p xmlns:a="http://schemas.openxmlformats.org/drawingml/2006/main">
          <a:fld id="{618A36CC-B24F-4A1E-B021-1EE38DD75E58}" type="TxLink">
            <a:rPr lang="en-US" sz="2400" b="1" i="0" u="none" strike="noStrike">
              <a:solidFill>
                <a:schemeClr val="bg1"/>
              </a:solidFill>
              <a:latin typeface="Arial"/>
              <a:cs typeface="Arial"/>
            </a:rPr>
            <a:pPr/>
            <a:t>#¡REF!</a:t>
          </a:fld>
          <a:endParaRPr lang="es-CO" sz="4400" b="1">
            <a:solidFill>
              <a:schemeClr val="bg1"/>
            </a:solidFill>
          </a:endParaRPr>
        </a:p>
      </cdr:txBody>
    </cdr:sp>
  </cdr:relSizeAnchor>
  <cdr:relSizeAnchor xmlns:cdr="http://schemas.openxmlformats.org/drawingml/2006/chartDrawing">
    <cdr:from>
      <cdr:x>0.36748</cdr:x>
      <cdr:y>0.57706</cdr:y>
    </cdr:from>
    <cdr:to>
      <cdr:x>0.50111</cdr:x>
      <cdr:y>0.78563</cdr:y>
    </cdr:to>
    <cdr:sp macro="" textlink="">
      <cdr:nvSpPr>
        <cdr:cNvPr id="2" name="CuadroTexto 1">
          <a:extLst xmlns:a="http://schemas.openxmlformats.org/drawingml/2006/main">
            <a:ext uri="{FF2B5EF4-FFF2-40B4-BE49-F238E27FC236}">
              <a16:creationId xmlns:a16="http://schemas.microsoft.com/office/drawing/2014/main" id="{951CB645-E799-4DC4-B960-13579BB5AF47}"/>
            </a:ext>
          </a:extLst>
        </cdr:cNvPr>
        <cdr:cNvSpPr txBox="1"/>
      </cdr:nvSpPr>
      <cdr:spPr>
        <a:xfrm xmlns:a="http://schemas.openxmlformats.org/drawingml/2006/main">
          <a:off x="2514600" y="252984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CO" sz="1800" b="1">
              <a:solidFill>
                <a:schemeClr val="bg1"/>
              </a:solidFill>
              <a:latin typeface="Century Gothic" panose="020B0502020202020204" pitchFamily="34" charset="0"/>
            </a:rPr>
            <a:t>PLAN DE ACCIÓN</a:t>
          </a:r>
          <a:endParaRPr lang="es-CO" sz="1100" b="1">
            <a:solidFill>
              <a:schemeClr val="bg1"/>
            </a:solidFill>
            <a:latin typeface="Century Gothic" panose="020B0502020202020204" pitchFamily="34" charset="0"/>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0.40872</cdr:x>
      <cdr:y>0.44898</cdr:y>
    </cdr:from>
    <cdr:to>
      <cdr:x>0.624</cdr:x>
      <cdr:y>0.5455</cdr:y>
    </cdr:to>
    <cdr:sp macro="" textlink="[4]PLANES!$F$4">
      <cdr:nvSpPr>
        <cdr:cNvPr id="8" name="Retraso 4"/>
        <cdr:cNvSpPr/>
      </cdr:nvSpPr>
      <cdr:spPr>
        <a:xfrm xmlns:a="http://schemas.openxmlformats.org/drawingml/2006/main" rot="16200000">
          <a:off x="3510313" y="2012877"/>
          <a:ext cx="543766" cy="1576867"/>
        </a:xfrm>
        <a:prstGeom xmlns:a="http://schemas.openxmlformats.org/drawingml/2006/main" prst="flowChartDelay">
          <a:avLst/>
        </a:prstGeom>
        <a:gradFill xmlns:a="http://schemas.openxmlformats.org/drawingml/2006/main" flip="none" rotWithShape="1">
          <a:gsLst>
            <a:gs pos="44000">
              <a:schemeClr val="tx1"/>
            </a:gs>
            <a:gs pos="100000">
              <a:schemeClr val="accent1">
                <a:lumMod val="30000"/>
                <a:lumOff val="70000"/>
              </a:schemeClr>
            </a:gs>
          </a:gsLst>
          <a:lin ang="0" scaled="1"/>
          <a:tileRect/>
        </a:gra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vert="vert" anchor="ctr" anchorCtr="1"/>
        <a:lstStyle xmlns:a="http://schemas.openxmlformats.org/drawingml/2006/main"/>
        <a:p xmlns:a="http://schemas.openxmlformats.org/drawingml/2006/main">
          <a:fld id="{618A36CC-B24F-4A1E-B021-1EE38DD75E58}" type="TxLink">
            <a:rPr lang="en-US" sz="2400" b="1" i="0" u="none" strike="noStrike">
              <a:solidFill>
                <a:schemeClr val="bg1"/>
              </a:solidFill>
              <a:latin typeface="Arial"/>
              <a:cs typeface="Arial"/>
            </a:rPr>
            <a:pPr/>
            <a:t>#¡REF!</a:t>
          </a:fld>
          <a:endParaRPr lang="es-CO" sz="4400" b="1">
            <a:solidFill>
              <a:schemeClr val="bg1"/>
            </a:solidFill>
          </a:endParaRPr>
        </a:p>
      </cdr:txBody>
    </cdr:sp>
  </cdr:relSizeAnchor>
  <cdr:relSizeAnchor xmlns:cdr="http://schemas.openxmlformats.org/drawingml/2006/chartDrawing">
    <cdr:from>
      <cdr:x>0.38437</cdr:x>
      <cdr:y>0.56779</cdr:y>
    </cdr:from>
    <cdr:to>
      <cdr:x>0.49779</cdr:x>
      <cdr:y>0.77636</cdr:y>
    </cdr:to>
    <cdr:sp macro="" textlink="">
      <cdr:nvSpPr>
        <cdr:cNvPr id="3" name="CuadroTexto 1">
          <a:extLst xmlns:a="http://schemas.openxmlformats.org/drawingml/2006/main">
            <a:ext uri="{FF2B5EF4-FFF2-40B4-BE49-F238E27FC236}">
              <a16:creationId xmlns:a16="http://schemas.microsoft.com/office/drawing/2014/main" id="{D39F2321-1222-43CE-A0E0-19D27408332F}"/>
            </a:ext>
          </a:extLst>
        </cdr:cNvPr>
        <cdr:cNvSpPr txBox="1"/>
      </cdr:nvSpPr>
      <cdr:spPr>
        <a:xfrm xmlns:a="http://schemas.openxmlformats.org/drawingml/2006/main">
          <a:off x="3098800" y="2489200"/>
          <a:ext cx="914400" cy="9144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O" sz="1800" b="1">
              <a:solidFill>
                <a:schemeClr val="bg1"/>
              </a:solidFill>
              <a:latin typeface="Century Gothic" panose="020B0502020202020204" pitchFamily="34" charset="0"/>
            </a:rPr>
            <a:t>PLAN DE GESTIÓN</a:t>
          </a:r>
          <a:endParaRPr lang="es-CO" sz="1100" b="1">
            <a:solidFill>
              <a:schemeClr val="bg1"/>
            </a:solidFill>
            <a:latin typeface="Century Gothic" panose="020B0502020202020204" pitchFamily="34" charset="0"/>
          </a:endParaRPr>
        </a:p>
      </cdr:txBody>
    </cdr:sp>
  </cdr:relSizeAnchor>
</c:userShapes>
</file>

<file path=xl/drawings/drawing13.xml><?xml version="1.0" encoding="utf-8"?>
<xdr:wsDr xmlns:xdr="http://schemas.openxmlformats.org/drawingml/2006/spreadsheetDrawing" xmlns:a="http://schemas.openxmlformats.org/drawingml/2006/main">
  <xdr:twoCellAnchor>
    <xdr:from>
      <xdr:col>1</xdr:col>
      <xdr:colOff>15240</xdr:colOff>
      <xdr:row>7</xdr:row>
      <xdr:rowOff>157555</xdr:rowOff>
    </xdr:from>
    <xdr:to>
      <xdr:col>14</xdr:col>
      <xdr:colOff>15240</xdr:colOff>
      <xdr:row>13</xdr:row>
      <xdr:rowOff>89130</xdr:rowOff>
    </xdr:to>
    <xdr:sp macro="" textlink="">
      <xdr:nvSpPr>
        <xdr:cNvPr id="2" name="Rectángulo 1">
          <a:extLst>
            <a:ext uri="{FF2B5EF4-FFF2-40B4-BE49-F238E27FC236}">
              <a16:creationId xmlns:a16="http://schemas.microsoft.com/office/drawing/2014/main" id="{96959E1F-BB88-4A5C-BD87-EDF999F1DCA9}"/>
            </a:ext>
          </a:extLst>
        </xdr:cNvPr>
        <xdr:cNvSpPr/>
      </xdr:nvSpPr>
      <xdr:spPr>
        <a:xfrm>
          <a:off x="68580" y="1437715"/>
          <a:ext cx="12382500" cy="1028855"/>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a:p>
      </xdr:txBody>
    </xdr:sp>
    <xdr:clientData/>
  </xdr:twoCellAnchor>
  <xdr:oneCellAnchor>
    <xdr:from>
      <xdr:col>13</xdr:col>
      <xdr:colOff>736600</xdr:colOff>
      <xdr:row>1</xdr:row>
      <xdr:rowOff>53002</xdr:rowOff>
    </xdr:from>
    <xdr:ext cx="11689868" cy="1125501"/>
    <xdr:sp macro="" textlink="">
      <xdr:nvSpPr>
        <xdr:cNvPr id="3" name="Rectángulo 2">
          <a:extLst>
            <a:ext uri="{FF2B5EF4-FFF2-40B4-BE49-F238E27FC236}">
              <a16:creationId xmlns:a16="http://schemas.microsoft.com/office/drawing/2014/main" id="{1354B093-18DC-469A-B779-040EA222DFA9}"/>
            </a:ext>
          </a:extLst>
        </xdr:cNvPr>
        <xdr:cNvSpPr/>
      </xdr:nvSpPr>
      <xdr:spPr>
        <a:xfrm>
          <a:off x="12128500" y="235882"/>
          <a:ext cx="11689868" cy="1125501"/>
        </a:xfrm>
        <a:prstGeom prst="rect">
          <a:avLst/>
        </a:prstGeom>
        <a:noFill/>
      </xdr:spPr>
      <xdr:txBody>
        <a:bodyPr wrap="none" lIns="91440" tIns="45720" rIns="91440" bIns="45720">
          <a:spAutoFit/>
        </a:bodyPr>
        <a:lstStyle/>
        <a:p>
          <a:pPr algn="ctr"/>
          <a:r>
            <a:rPr lang="es-ES" sz="6600" b="1" cap="none" spc="0">
              <a:ln w="22225">
                <a:solidFill>
                  <a:schemeClr val="accent2"/>
                </a:solidFill>
                <a:prstDash val="solid"/>
              </a:ln>
              <a:solidFill>
                <a:srgbClr val="FFFF00"/>
              </a:solidFill>
              <a:effectLst/>
            </a:rPr>
            <a:t>SECRETARÍA JURÍDICA DISTRITAL</a:t>
          </a:r>
        </a:p>
      </xdr:txBody>
    </xdr:sp>
    <xdr:clientData/>
  </xdr:oneCellAnchor>
  <xdr:twoCellAnchor>
    <xdr:from>
      <xdr:col>2</xdr:col>
      <xdr:colOff>182150</xdr:colOff>
      <xdr:row>1</xdr:row>
      <xdr:rowOff>152796</xdr:rowOff>
    </xdr:from>
    <xdr:to>
      <xdr:col>3</xdr:col>
      <xdr:colOff>471744</xdr:colOff>
      <xdr:row>7</xdr:row>
      <xdr:rowOff>76200</xdr:rowOff>
    </xdr:to>
    <xdr:pic>
      <xdr:nvPicPr>
        <xdr:cNvPr id="4" name="Imagen 3">
          <a:extLst>
            <a:ext uri="{FF2B5EF4-FFF2-40B4-BE49-F238E27FC236}">
              <a16:creationId xmlns:a16="http://schemas.microsoft.com/office/drawing/2014/main" id="{8B11A20E-6919-4B1C-9930-B771B093D23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7970" y="335676"/>
          <a:ext cx="1082074" cy="1020684"/>
        </a:xfrm>
        <a:prstGeom prst="roundRect">
          <a:avLst>
            <a:gd name="adj" fmla="val 4167"/>
          </a:avLst>
        </a:prstGeom>
        <a:solidFill>
          <a:srgbClr val="FFFFFF"/>
        </a:solidFill>
        <a:ln w="76200" cap="sq">
          <a:solidFill>
            <a:srgbClr val="EAEAEA"/>
          </a:solidFill>
          <a:miter lim="800000"/>
        </a:ln>
        <a:effectLst>
          <a:reflection blurRad="12700" stA="33000" endPos="28000" dist="5000" dir="5400000" sy="-100000" algn="bl" rotWithShape="0"/>
        </a:effectLst>
        <a:scene3d>
          <a:camera prst="orthographicFront"/>
          <a:lightRig rig="threePt" dir="t">
            <a:rot lat="0" lon="0" rev="2700000"/>
          </a:lightRig>
        </a:scene3d>
        <a:sp3d contourW="6350">
          <a:bevelT h="38100"/>
          <a:contourClr>
            <a:srgbClr val="C0C0C0"/>
          </a:contourClr>
        </a:sp3d>
      </xdr:spPr>
    </xdr:pic>
    <xdr:clientData/>
  </xdr:twoCellAnchor>
  <xdr:oneCellAnchor>
    <xdr:from>
      <xdr:col>8</xdr:col>
      <xdr:colOff>309277</xdr:colOff>
      <xdr:row>19</xdr:row>
      <xdr:rowOff>113543</xdr:rowOff>
    </xdr:from>
    <xdr:ext cx="3461397" cy="405432"/>
    <xdr:sp macro="" textlink="">
      <xdr:nvSpPr>
        <xdr:cNvPr id="5" name="Rectángulo 4">
          <a:extLst>
            <a:ext uri="{FF2B5EF4-FFF2-40B4-BE49-F238E27FC236}">
              <a16:creationId xmlns:a16="http://schemas.microsoft.com/office/drawing/2014/main" id="{204BBF42-105E-48C7-BB7C-476AAE57F5AD}"/>
            </a:ext>
          </a:extLst>
        </xdr:cNvPr>
        <xdr:cNvSpPr/>
      </xdr:nvSpPr>
      <xdr:spPr>
        <a:xfrm>
          <a:off x="7601617" y="3588263"/>
          <a:ext cx="3461397" cy="405432"/>
        </a:xfrm>
        <a:prstGeom prst="rect">
          <a:avLst/>
        </a:prstGeom>
        <a:noFill/>
      </xdr:spPr>
      <xdr:txBody>
        <a:bodyPr wrap="none" lIns="91440" tIns="45720" rIns="91440" bIns="45720">
          <a:spAutoFit/>
        </a:bodyPr>
        <a:lstStyle/>
        <a:p>
          <a:pPr algn="ctr"/>
          <a:r>
            <a:rPr lang="es-ES" sz="2000" b="1" cap="none" spc="0">
              <a:ln w="0"/>
              <a:solidFill>
                <a:schemeClr val="bg1">
                  <a:lumMod val="85000"/>
                </a:schemeClr>
              </a:solidFill>
              <a:effectLst>
                <a:reflection blurRad="6350" stA="53000" endA="300" endPos="35500" dir="5400000" sy="-90000" algn="bl" rotWithShape="0"/>
              </a:effectLst>
            </a:rPr>
            <a:t>IMPERACTIVOS</a:t>
          </a:r>
          <a:r>
            <a:rPr lang="es-ES" sz="2000" b="1" cap="none" spc="0" baseline="0">
              <a:ln w="0"/>
              <a:solidFill>
                <a:schemeClr val="bg1">
                  <a:lumMod val="85000"/>
                </a:schemeClr>
              </a:solidFill>
              <a:effectLst>
                <a:reflection blurRad="6350" stA="53000" endA="300" endPos="35500" dir="5400000" sy="-90000" algn="bl" rotWithShape="0"/>
              </a:effectLst>
            </a:rPr>
            <a:t> ESTRATÉGICOS</a:t>
          </a:r>
          <a:endParaRPr lang="es-ES" sz="2000" b="1" cap="none" spc="0">
            <a:ln w="0"/>
            <a:solidFill>
              <a:schemeClr val="bg1">
                <a:lumMod val="85000"/>
              </a:schemeClr>
            </a:solidFill>
            <a:effectLst>
              <a:reflection blurRad="6350" stA="53000" endA="300" endPos="35500" dir="5400000" sy="-90000" algn="bl" rotWithShape="0"/>
            </a:effectLst>
          </a:endParaRPr>
        </a:p>
      </xdr:txBody>
    </xdr:sp>
    <xdr:clientData/>
  </xdr:oneCellAnchor>
  <xdr:oneCellAnchor>
    <xdr:from>
      <xdr:col>3</xdr:col>
      <xdr:colOff>787861</xdr:colOff>
      <xdr:row>14</xdr:row>
      <xdr:rowOff>88212</xdr:rowOff>
    </xdr:from>
    <xdr:ext cx="5551979" cy="582348"/>
    <xdr:sp macro="" textlink="" fLocksText="0">
      <xdr:nvSpPr>
        <xdr:cNvPr id="6" name="Rectángulo 5">
          <a:extLst>
            <a:ext uri="{FF2B5EF4-FFF2-40B4-BE49-F238E27FC236}">
              <a16:creationId xmlns:a16="http://schemas.microsoft.com/office/drawing/2014/main" id="{8D44FF08-6834-4A9E-99A5-C5A69B053653}"/>
            </a:ext>
          </a:extLst>
        </xdr:cNvPr>
        <xdr:cNvSpPr/>
      </xdr:nvSpPr>
      <xdr:spPr>
        <a:xfrm>
          <a:off x="2426161" y="2648532"/>
          <a:ext cx="5551979" cy="582348"/>
        </a:xfrm>
        <a:prstGeom prst="rect">
          <a:avLst/>
        </a:prstGeom>
        <a:gradFill flip="none" rotWithShape="1">
          <a:gsLst>
            <a:gs pos="0">
              <a:schemeClr val="tx2">
                <a:lumMod val="75000"/>
                <a:shade val="30000"/>
                <a:satMod val="115000"/>
              </a:schemeClr>
            </a:gs>
            <a:gs pos="50000">
              <a:schemeClr val="tx2">
                <a:lumMod val="75000"/>
                <a:shade val="67500"/>
                <a:satMod val="115000"/>
              </a:schemeClr>
            </a:gs>
            <a:gs pos="100000">
              <a:schemeClr val="tx2">
                <a:lumMod val="75000"/>
                <a:shade val="100000"/>
                <a:satMod val="115000"/>
              </a:schemeClr>
            </a:gs>
          </a:gsLst>
          <a:lin ang="5400000" scaled="1"/>
          <a:tileRect/>
        </a:gradFill>
        <a:ln>
          <a:noFill/>
        </a:ln>
        <a:effectLst>
          <a:innerShdw blurRad="114300">
            <a:prstClr val="black"/>
          </a:innerShdw>
        </a:effectLst>
        <a:scene3d>
          <a:camera prst="orthographicFront"/>
          <a:lightRig rig="harsh" dir="t"/>
        </a:scene3d>
        <a:sp3d extrusionH="76200" contourW="12700">
          <a:bevelT/>
          <a:bevelB prst="relaxedInset"/>
          <a:extrusionClr>
            <a:schemeClr val="accent1">
              <a:lumMod val="40000"/>
              <a:lumOff val="60000"/>
            </a:schemeClr>
          </a:extrusionClr>
          <a:contourClr>
            <a:schemeClr val="accent1">
              <a:lumMod val="20000"/>
              <a:lumOff val="80000"/>
            </a:schemeClr>
          </a:contourClr>
        </a:sp3d>
      </xdr:spPr>
      <xdr:txBody>
        <a:bodyPr wrap="square" lIns="91440" tIns="45720" rIns="91440" bIns="45720">
          <a:noAutofit/>
        </a:bodyPr>
        <a:lstStyle/>
        <a:p>
          <a:pPr marL="0" indent="0" algn="ctr"/>
          <a:r>
            <a:rPr lang="es-ES" sz="2400" b="1" cap="none" spc="0">
              <a:ln w="0"/>
              <a:solidFill>
                <a:schemeClr val="bg1"/>
              </a:solidFill>
              <a:effectLst>
                <a:outerShdw blurRad="38100" dist="25400" dir="5400000" algn="ctr" rotWithShape="0">
                  <a:srgbClr val="6E747A">
                    <a:alpha val="43000"/>
                  </a:srgbClr>
                </a:outerShdw>
              </a:effectLst>
              <a:latin typeface="+mn-lt"/>
              <a:ea typeface="+mn-ea"/>
              <a:cs typeface="+mn-cs"/>
            </a:rPr>
            <a:t>DESEMPEÑO INSTITUCIONAL 2020</a:t>
          </a:r>
          <a:r>
            <a:rPr lang="es-ES" sz="2400" b="1" cap="none" spc="0" baseline="0">
              <a:ln w="0"/>
              <a:solidFill>
                <a:schemeClr val="bg1"/>
              </a:solidFill>
              <a:effectLst>
                <a:outerShdw blurRad="38100" dist="25400" dir="5400000" algn="ctr" rotWithShape="0">
                  <a:srgbClr val="6E747A">
                    <a:alpha val="43000"/>
                  </a:srgbClr>
                </a:outerShdw>
              </a:effectLst>
              <a:latin typeface="+mn-lt"/>
              <a:ea typeface="+mn-ea"/>
              <a:cs typeface="+mn-cs"/>
            </a:rPr>
            <a:t> -2024</a:t>
          </a:r>
          <a:endParaRPr lang="es-ES" sz="2400" b="1" cap="none" spc="0">
            <a:ln w="0"/>
            <a:solidFill>
              <a:schemeClr val="bg1"/>
            </a:solidFill>
            <a:effectLst>
              <a:outerShdw blurRad="38100" dist="25400" dir="5400000" algn="ctr" rotWithShape="0">
                <a:srgbClr val="6E747A">
                  <a:alpha val="43000"/>
                </a:srgbClr>
              </a:outerShdw>
            </a:effectLst>
            <a:latin typeface="+mn-lt"/>
            <a:ea typeface="+mn-ea"/>
            <a:cs typeface="+mn-cs"/>
          </a:endParaRPr>
        </a:p>
      </xdr:txBody>
    </xdr:sp>
    <xdr:clientData/>
  </xdr:oneCellAnchor>
  <xdr:twoCellAnchor>
    <xdr:from>
      <xdr:col>14</xdr:col>
      <xdr:colOff>15240</xdr:colOff>
      <xdr:row>7</xdr:row>
      <xdr:rowOff>157555</xdr:rowOff>
    </xdr:from>
    <xdr:to>
      <xdr:col>32</xdr:col>
      <xdr:colOff>15240</xdr:colOff>
      <xdr:row>13</xdr:row>
      <xdr:rowOff>89130</xdr:rowOff>
    </xdr:to>
    <xdr:sp macro="" textlink="">
      <xdr:nvSpPr>
        <xdr:cNvPr id="7" name="Rectángulo 6">
          <a:extLst>
            <a:ext uri="{FF2B5EF4-FFF2-40B4-BE49-F238E27FC236}">
              <a16:creationId xmlns:a16="http://schemas.microsoft.com/office/drawing/2014/main" id="{CBBEFA7E-B129-4420-BF86-5DE43AB769FB}"/>
            </a:ext>
          </a:extLst>
        </xdr:cNvPr>
        <xdr:cNvSpPr/>
      </xdr:nvSpPr>
      <xdr:spPr>
        <a:xfrm>
          <a:off x="12451080" y="1437715"/>
          <a:ext cx="24231600" cy="1028855"/>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a:p>
      </xdr:txBody>
    </xdr:sp>
    <xdr:clientData/>
  </xdr:twoCellAnchor>
  <xdr:oneCellAnchor>
    <xdr:from>
      <xdr:col>15</xdr:col>
      <xdr:colOff>81280</xdr:colOff>
      <xdr:row>7</xdr:row>
      <xdr:rowOff>138430</xdr:rowOff>
    </xdr:from>
    <xdr:ext cx="9563100" cy="937629"/>
    <xdr:sp macro="" textlink="">
      <xdr:nvSpPr>
        <xdr:cNvPr id="8" name="Rectángulo 7">
          <a:extLst>
            <a:ext uri="{FF2B5EF4-FFF2-40B4-BE49-F238E27FC236}">
              <a16:creationId xmlns:a16="http://schemas.microsoft.com/office/drawing/2014/main" id="{DD50C1E5-9D07-4FB2-B8FF-BA5392C9389A}"/>
            </a:ext>
          </a:extLst>
        </xdr:cNvPr>
        <xdr:cNvSpPr/>
      </xdr:nvSpPr>
      <xdr:spPr>
        <a:xfrm>
          <a:off x="13309600" y="1418590"/>
          <a:ext cx="9563100" cy="937629"/>
        </a:xfrm>
        <a:prstGeom prst="rect">
          <a:avLst/>
        </a:prstGeom>
        <a:noFill/>
      </xdr:spPr>
      <xdr:txBody>
        <a:bodyPr wrap="square" lIns="91440" tIns="45720" rIns="91440" bIns="45720">
          <a:spAutoFit/>
        </a:bodyPr>
        <a:lstStyle/>
        <a:p>
          <a:pPr algn="ctr"/>
          <a:r>
            <a:rPr lang="es-ES" sz="5400" b="1" cap="none" spc="0">
              <a:ln w="0"/>
              <a:solidFill>
                <a:srgbClr val="FF0000"/>
              </a:solidFill>
              <a:effectLst>
                <a:reflection blurRad="6350" stA="53000" endA="300" endPos="35500" dir="5400000" sy="-90000" algn="bl" rotWithShape="0"/>
              </a:effectLst>
            </a:rPr>
            <a:t>SEGUIMIENTO A LA GESTIÓN</a:t>
          </a:r>
        </a:p>
      </xdr:txBody>
    </xdr:sp>
    <xdr:clientData/>
  </xdr:oneCellAnchor>
  <xdr:twoCellAnchor>
    <xdr:from>
      <xdr:col>8</xdr:col>
      <xdr:colOff>350520</xdr:colOff>
      <xdr:row>22</xdr:row>
      <xdr:rowOff>137160</xdr:rowOff>
    </xdr:from>
    <xdr:to>
      <xdr:col>13</xdr:col>
      <xdr:colOff>628650</xdr:colOff>
      <xdr:row>24</xdr:row>
      <xdr:rowOff>426720</xdr:rowOff>
    </xdr:to>
    <xdr:sp macro="" textlink="">
      <xdr:nvSpPr>
        <xdr:cNvPr id="9" name="Rectángulo redondeado 4">
          <a:extLst>
            <a:ext uri="{FF2B5EF4-FFF2-40B4-BE49-F238E27FC236}">
              <a16:creationId xmlns:a16="http://schemas.microsoft.com/office/drawing/2014/main" id="{85BE2307-15C3-493B-8276-42BFC8D7365B}"/>
            </a:ext>
          </a:extLst>
        </xdr:cNvPr>
        <xdr:cNvSpPr/>
      </xdr:nvSpPr>
      <xdr:spPr>
        <a:xfrm>
          <a:off x="7642860" y="4160520"/>
          <a:ext cx="4377690" cy="655320"/>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i="0" u="none" strike="noStrike">
              <a:solidFill>
                <a:schemeClr val="tx1"/>
              </a:solidFill>
              <a:effectLst/>
              <a:latin typeface="Franklin Gothic Book" panose="020B0503020102020204" pitchFamily="34" charset="0"/>
              <a:ea typeface="+mn-ea"/>
              <a:cs typeface="+mn-cs"/>
            </a:rPr>
            <a:t>MODERNIZACIÓN DE SISTEMAS DE INFORMACIÓN  </a:t>
          </a:r>
        </a:p>
      </xdr:txBody>
    </xdr:sp>
    <xdr:clientData/>
  </xdr:twoCellAnchor>
  <xdr:twoCellAnchor>
    <xdr:from>
      <xdr:col>8</xdr:col>
      <xdr:colOff>259080</xdr:colOff>
      <xdr:row>26</xdr:row>
      <xdr:rowOff>274321</xdr:rowOff>
    </xdr:from>
    <xdr:to>
      <xdr:col>13</xdr:col>
      <xdr:colOff>571500</xdr:colOff>
      <xdr:row>28</xdr:row>
      <xdr:rowOff>95250</xdr:rowOff>
    </xdr:to>
    <xdr:sp macro="" textlink="">
      <xdr:nvSpPr>
        <xdr:cNvPr id="10" name="Rectángulo redondeado 7">
          <a:extLst>
            <a:ext uri="{FF2B5EF4-FFF2-40B4-BE49-F238E27FC236}">
              <a16:creationId xmlns:a16="http://schemas.microsoft.com/office/drawing/2014/main" id="{C30AEF69-3A61-42C8-8911-F2F95A7B023F}"/>
            </a:ext>
          </a:extLst>
        </xdr:cNvPr>
        <xdr:cNvSpPr/>
      </xdr:nvSpPr>
      <xdr:spPr>
        <a:xfrm>
          <a:off x="7551420" y="5760721"/>
          <a:ext cx="4411980" cy="55244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softEdge rad="1270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OPTIMIZACIÓN DE PROCESOS</a:t>
          </a:r>
        </a:p>
      </xdr:txBody>
    </xdr:sp>
    <xdr:clientData/>
  </xdr:twoCellAnchor>
  <xdr:twoCellAnchor>
    <xdr:from>
      <xdr:col>8</xdr:col>
      <xdr:colOff>472440</xdr:colOff>
      <xdr:row>32</xdr:row>
      <xdr:rowOff>228601</xdr:rowOff>
    </xdr:from>
    <xdr:to>
      <xdr:col>13</xdr:col>
      <xdr:colOff>571500</xdr:colOff>
      <xdr:row>33</xdr:row>
      <xdr:rowOff>182880</xdr:rowOff>
    </xdr:to>
    <xdr:sp macro="" textlink="">
      <xdr:nvSpPr>
        <xdr:cNvPr id="11" name="Rectángulo redondeado 9">
          <a:extLst>
            <a:ext uri="{FF2B5EF4-FFF2-40B4-BE49-F238E27FC236}">
              <a16:creationId xmlns:a16="http://schemas.microsoft.com/office/drawing/2014/main" id="{7A23ACB8-9174-48D7-A444-1C926717B858}"/>
            </a:ext>
          </a:extLst>
        </xdr:cNvPr>
        <xdr:cNvSpPr/>
      </xdr:nvSpPr>
      <xdr:spPr>
        <a:xfrm>
          <a:off x="7764780" y="7528561"/>
          <a:ext cx="4198620" cy="64007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softEdge rad="63500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POSICIONAMIENTO COMO ENTE RECTOR</a:t>
          </a:r>
        </a:p>
      </xdr:txBody>
    </xdr:sp>
    <xdr:clientData/>
  </xdr:twoCellAnchor>
  <xdr:twoCellAnchor>
    <xdr:from>
      <xdr:col>8</xdr:col>
      <xdr:colOff>472440</xdr:colOff>
      <xdr:row>33</xdr:row>
      <xdr:rowOff>1264921</xdr:rowOff>
    </xdr:from>
    <xdr:to>
      <xdr:col>13</xdr:col>
      <xdr:colOff>476250</xdr:colOff>
      <xdr:row>34</xdr:row>
      <xdr:rowOff>320040</xdr:rowOff>
    </xdr:to>
    <xdr:sp macro="" textlink="">
      <xdr:nvSpPr>
        <xdr:cNvPr id="12" name="Rectángulo redondeado 11">
          <a:extLst>
            <a:ext uri="{FF2B5EF4-FFF2-40B4-BE49-F238E27FC236}">
              <a16:creationId xmlns:a16="http://schemas.microsoft.com/office/drawing/2014/main" id="{D7E6D642-82C7-4738-BD7D-FF262B2895F0}"/>
            </a:ext>
          </a:extLst>
        </xdr:cNvPr>
        <xdr:cNvSpPr/>
      </xdr:nvSpPr>
      <xdr:spPr>
        <a:xfrm>
          <a:off x="7764780" y="9250681"/>
          <a:ext cx="4103370" cy="64007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 RESPALDO JURÍDICO QUE GENERA CONFIANZA. </a:t>
          </a:r>
        </a:p>
      </xdr:txBody>
    </xdr:sp>
    <xdr:clientData/>
  </xdr:twoCellAnchor>
  <xdr:oneCellAnchor>
    <xdr:from>
      <xdr:col>9</xdr:col>
      <xdr:colOff>609600</xdr:colOff>
      <xdr:row>24</xdr:row>
      <xdr:rowOff>472440</xdr:rowOff>
    </xdr:from>
    <xdr:ext cx="1863728" cy="796927"/>
    <xdr:sp macro="" textlink="'FORMULAS%'!G26">
      <xdr:nvSpPr>
        <xdr:cNvPr id="13" name="CuadroTexto 12">
          <a:extLst>
            <a:ext uri="{FF2B5EF4-FFF2-40B4-BE49-F238E27FC236}">
              <a16:creationId xmlns:a16="http://schemas.microsoft.com/office/drawing/2014/main" id="{A7510F47-A7B3-425C-BA9F-12A1474030D4}"/>
            </a:ext>
          </a:extLst>
        </xdr:cNvPr>
        <xdr:cNvSpPr txBox="1"/>
      </xdr:nvSpPr>
      <xdr:spPr>
        <a:xfrm>
          <a:off x="8694420" y="4861560"/>
          <a:ext cx="186372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5E6104BB-698A-4370-BEF1-765D45D40F6A}" type="TxLink">
            <a:rPr lang="en-US" sz="4800" b="1" i="0" u="none" strike="noStrike">
              <a:solidFill>
                <a:srgbClr val="FFFF00"/>
              </a:solidFill>
              <a:latin typeface="Calibri"/>
              <a:ea typeface="+mn-ea"/>
              <a:cs typeface="Calibri"/>
            </a:rPr>
            <a:pPr marL="0" indent="0" algn="ctr"/>
            <a:t>79,7%</a:t>
          </a:fld>
          <a:endParaRPr lang="es-CO" sz="4800" b="1" i="0" u="none" strike="noStrike">
            <a:solidFill>
              <a:srgbClr val="FFFF00"/>
            </a:solidFill>
            <a:latin typeface="Arial Narrow" panose="020B0606020202030204" pitchFamily="34" charset="0"/>
            <a:ea typeface="+mn-ea"/>
            <a:cs typeface="Calibri"/>
          </a:endParaRPr>
        </a:p>
      </xdr:txBody>
    </xdr:sp>
    <xdr:clientData/>
  </xdr:oneCellAnchor>
  <xdr:oneCellAnchor>
    <xdr:from>
      <xdr:col>9</xdr:col>
      <xdr:colOff>640080</xdr:colOff>
      <xdr:row>28</xdr:row>
      <xdr:rowOff>320040</xdr:rowOff>
    </xdr:from>
    <xdr:ext cx="1921608" cy="796927"/>
    <xdr:sp macro="" textlink="'FORMULAS%'!G24">
      <xdr:nvSpPr>
        <xdr:cNvPr id="14" name="CuadroTexto 13">
          <a:extLst>
            <a:ext uri="{FF2B5EF4-FFF2-40B4-BE49-F238E27FC236}">
              <a16:creationId xmlns:a16="http://schemas.microsoft.com/office/drawing/2014/main" id="{BB78A1B3-2966-400E-A72E-DB7BF6F7C9BF}"/>
            </a:ext>
          </a:extLst>
        </xdr:cNvPr>
        <xdr:cNvSpPr txBox="1"/>
      </xdr:nvSpPr>
      <xdr:spPr>
        <a:xfrm>
          <a:off x="8724900" y="653796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16F7D29F-6F0A-4D50-A2B4-CDED2F7B091F}" type="TxLink">
            <a:rPr lang="en-US" sz="4800" b="1" i="0" u="none" strike="noStrike">
              <a:solidFill>
                <a:srgbClr val="FFFF00"/>
              </a:solidFill>
              <a:latin typeface="Calibri"/>
              <a:ea typeface="+mn-ea"/>
              <a:cs typeface="Calibri"/>
            </a:rPr>
            <a:pPr marL="0" indent="0" algn="ctr"/>
            <a:t>94,6%</a:t>
          </a:fld>
          <a:endParaRPr lang="es-CO" sz="4800" b="1" i="0" u="none" strike="noStrike">
            <a:solidFill>
              <a:srgbClr val="FFFF00"/>
            </a:solidFill>
            <a:latin typeface="Arial Narrow" panose="020B0606020202030204" pitchFamily="34" charset="0"/>
            <a:ea typeface="+mn-ea"/>
            <a:cs typeface="Calibri"/>
          </a:endParaRPr>
        </a:p>
      </xdr:txBody>
    </xdr:sp>
    <xdr:clientData/>
  </xdr:oneCellAnchor>
  <xdr:twoCellAnchor>
    <xdr:from>
      <xdr:col>1</xdr:col>
      <xdr:colOff>0</xdr:colOff>
      <xdr:row>32</xdr:row>
      <xdr:rowOff>396240</xdr:rowOff>
    </xdr:from>
    <xdr:to>
      <xdr:col>8</xdr:col>
      <xdr:colOff>289560</xdr:colOff>
      <xdr:row>47</xdr:row>
      <xdr:rowOff>71120</xdr:rowOff>
    </xdr:to>
    <xdr:graphicFrame macro="">
      <xdr:nvGraphicFramePr>
        <xdr:cNvPr id="15" name="Gráfico 14">
          <a:extLst>
            <a:ext uri="{FF2B5EF4-FFF2-40B4-BE49-F238E27FC236}">
              <a16:creationId xmlns:a16="http://schemas.microsoft.com/office/drawing/2014/main" id="{88BADA45-CD9D-47F8-BE92-D74E303B4D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9</xdr:col>
      <xdr:colOff>655320</xdr:colOff>
      <xdr:row>33</xdr:row>
      <xdr:rowOff>289560</xdr:rowOff>
    </xdr:from>
    <xdr:ext cx="1921608" cy="796927"/>
    <xdr:sp macro="" textlink="'FORMULAS%'!G23">
      <xdr:nvSpPr>
        <xdr:cNvPr id="16" name="CuadroTexto 15">
          <a:extLst>
            <a:ext uri="{FF2B5EF4-FFF2-40B4-BE49-F238E27FC236}">
              <a16:creationId xmlns:a16="http://schemas.microsoft.com/office/drawing/2014/main" id="{0B05AFEC-0B3A-49DC-90A1-66CC3F4659AB}"/>
            </a:ext>
          </a:extLst>
        </xdr:cNvPr>
        <xdr:cNvSpPr txBox="1"/>
      </xdr:nvSpPr>
      <xdr:spPr>
        <a:xfrm>
          <a:off x="8740140" y="827532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E391B06B-94EE-486A-9829-4F271FDA2A75}" type="TxLink">
            <a:rPr lang="en-US" sz="4800" b="1" i="0" u="none" strike="noStrike">
              <a:solidFill>
                <a:srgbClr val="FFFF00"/>
              </a:solidFill>
              <a:latin typeface="Calibri"/>
              <a:ea typeface="+mn-ea"/>
              <a:cs typeface="Calibri"/>
            </a:rPr>
            <a:pPr marL="0" indent="0" algn="ctr"/>
            <a:t>86,0%</a:t>
          </a:fld>
          <a:endParaRPr lang="es-CO" sz="4800" b="1" i="0" u="none" strike="noStrike">
            <a:solidFill>
              <a:srgbClr val="FFFF00"/>
            </a:solidFill>
            <a:latin typeface="Arial Narrow" panose="020B0606020202030204" pitchFamily="34" charset="0"/>
            <a:ea typeface="+mn-ea"/>
            <a:cs typeface="Calibri"/>
          </a:endParaRPr>
        </a:p>
      </xdr:txBody>
    </xdr:sp>
    <xdr:clientData/>
  </xdr:oneCellAnchor>
  <xdr:oneCellAnchor>
    <xdr:from>
      <xdr:col>9</xdr:col>
      <xdr:colOff>762000</xdr:colOff>
      <xdr:row>34</xdr:row>
      <xdr:rowOff>640080</xdr:rowOff>
    </xdr:from>
    <xdr:ext cx="1921608" cy="796927"/>
    <xdr:sp macro="" textlink="'FORMULAS%'!G25">
      <xdr:nvSpPr>
        <xdr:cNvPr id="17" name="CuadroTexto 16">
          <a:extLst>
            <a:ext uri="{FF2B5EF4-FFF2-40B4-BE49-F238E27FC236}">
              <a16:creationId xmlns:a16="http://schemas.microsoft.com/office/drawing/2014/main" id="{4B723938-6070-4297-AA10-2496C3C74E0A}"/>
            </a:ext>
          </a:extLst>
        </xdr:cNvPr>
        <xdr:cNvSpPr txBox="1"/>
      </xdr:nvSpPr>
      <xdr:spPr>
        <a:xfrm>
          <a:off x="8846820" y="1021080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EB76ADD5-D618-4160-B7DF-5D210D790E3B}" type="TxLink">
            <a:rPr lang="en-US" sz="4800" b="1" i="0" u="none" strike="noStrike">
              <a:solidFill>
                <a:srgbClr val="FFFF00"/>
              </a:solidFill>
              <a:latin typeface="Calibri"/>
              <a:ea typeface="+mn-ea"/>
              <a:cs typeface="Calibri"/>
            </a:rPr>
            <a:pPr marL="0" indent="0" algn="ctr"/>
            <a:t>97,2%</a:t>
          </a:fld>
          <a:endParaRPr lang="es-CO" sz="4800" b="1" i="0" u="none" strike="noStrike">
            <a:solidFill>
              <a:srgbClr val="FFFF00"/>
            </a:solidFill>
            <a:latin typeface="Arial Narrow" panose="020B0606020202030204" pitchFamily="34" charset="0"/>
            <a:ea typeface="+mn-ea"/>
            <a:cs typeface="Calibri"/>
          </a:endParaRPr>
        </a:p>
      </xdr:txBody>
    </xdr:sp>
    <xdr:clientData/>
  </xdr:oneCellAnchor>
  <xdr:twoCellAnchor>
    <xdr:from>
      <xdr:col>13</xdr:col>
      <xdr:colOff>60960</xdr:colOff>
      <xdr:row>22</xdr:row>
      <xdr:rowOff>121920</xdr:rowOff>
    </xdr:from>
    <xdr:to>
      <xdr:col>21</xdr:col>
      <xdr:colOff>563880</xdr:colOff>
      <xdr:row>33</xdr:row>
      <xdr:rowOff>543560</xdr:rowOff>
    </xdr:to>
    <xdr:graphicFrame macro="">
      <xdr:nvGraphicFramePr>
        <xdr:cNvPr id="18" name="Gráfico 17">
          <a:extLst>
            <a:ext uri="{FF2B5EF4-FFF2-40B4-BE49-F238E27FC236}">
              <a16:creationId xmlns:a16="http://schemas.microsoft.com/office/drawing/2014/main" id="{2A51035A-5A22-4624-A551-E82B2F9446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17</xdr:col>
      <xdr:colOff>320040</xdr:colOff>
      <xdr:row>14</xdr:row>
      <xdr:rowOff>118110</xdr:rowOff>
    </xdr:from>
    <xdr:ext cx="6633315" cy="624840"/>
    <xdr:sp macro="" textlink="" fLocksText="0">
      <xdr:nvSpPr>
        <xdr:cNvPr id="19" name="Rectángulo 18">
          <a:extLst>
            <a:ext uri="{FF2B5EF4-FFF2-40B4-BE49-F238E27FC236}">
              <a16:creationId xmlns:a16="http://schemas.microsoft.com/office/drawing/2014/main" id="{D99FE0E7-EA89-4A95-B44E-C0BC0E886239}"/>
            </a:ext>
          </a:extLst>
        </xdr:cNvPr>
        <xdr:cNvSpPr/>
      </xdr:nvSpPr>
      <xdr:spPr>
        <a:xfrm>
          <a:off x="15133320" y="2678430"/>
          <a:ext cx="6633315" cy="624840"/>
        </a:xfrm>
        <a:prstGeom prst="rect">
          <a:avLst/>
        </a:prstGeom>
        <a:gradFill flip="none" rotWithShape="1">
          <a:gsLst>
            <a:gs pos="0">
              <a:schemeClr val="tx2">
                <a:lumMod val="75000"/>
                <a:shade val="30000"/>
                <a:satMod val="115000"/>
              </a:schemeClr>
            </a:gs>
            <a:gs pos="70000">
              <a:schemeClr val="tx2">
                <a:lumMod val="75000"/>
                <a:shade val="67500"/>
                <a:satMod val="115000"/>
              </a:schemeClr>
            </a:gs>
            <a:gs pos="94000">
              <a:schemeClr val="accent1">
                <a:lumMod val="50000"/>
              </a:schemeClr>
            </a:gs>
          </a:gsLst>
          <a:lin ang="5400000" scaled="1"/>
          <a:tileRect/>
        </a:gradFill>
        <a:ln>
          <a:noFill/>
        </a:ln>
        <a:effectLst>
          <a:innerShdw blurRad="114300">
            <a:schemeClr val="tx1"/>
          </a:innerShdw>
        </a:effectLst>
        <a:scene3d>
          <a:camera prst="orthographicFront"/>
          <a:lightRig rig="harsh" dir="t"/>
        </a:scene3d>
        <a:sp3d extrusionH="76200" contourW="12700">
          <a:bevelT/>
          <a:bevelB prst="relaxedInset"/>
          <a:extrusionClr>
            <a:schemeClr val="accent1">
              <a:lumMod val="40000"/>
              <a:lumOff val="60000"/>
            </a:schemeClr>
          </a:extrusionClr>
          <a:contourClr>
            <a:schemeClr val="accent1">
              <a:lumMod val="20000"/>
              <a:lumOff val="80000"/>
            </a:schemeClr>
          </a:contourClr>
        </a:sp3d>
      </xdr:spPr>
      <xdr:txBody>
        <a:bodyPr wrap="square" lIns="91440" tIns="45720" rIns="91440" bIns="45720">
          <a:noAutofit/>
        </a:bodyPr>
        <a:lstStyle/>
        <a:p>
          <a:pPr marL="0" indent="0" algn="ctr"/>
          <a:r>
            <a:rPr lang="es-ES" sz="2400" b="1" cap="none" spc="0">
              <a:ln w="0"/>
              <a:solidFill>
                <a:schemeClr val="bg1"/>
              </a:solidFill>
              <a:effectLst>
                <a:outerShdw blurRad="38100" dist="25400" dir="5400000" algn="ctr" rotWithShape="0">
                  <a:srgbClr val="6E747A">
                    <a:alpha val="43000"/>
                  </a:srgbClr>
                </a:outerShdw>
              </a:effectLst>
              <a:latin typeface="+mn-lt"/>
              <a:ea typeface="+mn-ea"/>
              <a:cs typeface="+mn-cs"/>
            </a:rPr>
            <a:t>DESEMPEÑO</a:t>
          </a:r>
          <a:r>
            <a:rPr lang="es-ES" sz="2400" b="1" cap="none" spc="0" baseline="0">
              <a:ln w="0"/>
              <a:solidFill>
                <a:schemeClr val="bg1"/>
              </a:solidFill>
              <a:effectLst>
                <a:outerShdw blurRad="38100" dist="25400" dir="5400000" algn="ctr" rotWithShape="0">
                  <a:srgbClr val="6E747A">
                    <a:alpha val="43000"/>
                  </a:srgbClr>
                </a:outerShdw>
              </a:effectLst>
              <a:latin typeface="+mn-lt"/>
              <a:ea typeface="+mn-ea"/>
              <a:cs typeface="+mn-cs"/>
            </a:rPr>
            <a:t> INSTITUCIONAL VIGENCIA 2022</a:t>
          </a:r>
          <a:endParaRPr lang="es-ES" sz="2400" b="1" cap="none" spc="0">
            <a:ln w="0"/>
            <a:solidFill>
              <a:schemeClr val="bg1"/>
            </a:solidFill>
            <a:effectLst>
              <a:outerShdw blurRad="38100" dist="25400" dir="5400000" algn="ctr" rotWithShape="0">
                <a:srgbClr val="6E747A">
                  <a:alpha val="43000"/>
                </a:srgbClr>
              </a:outerShdw>
            </a:effectLst>
            <a:latin typeface="+mn-lt"/>
            <a:ea typeface="+mn-ea"/>
            <a:cs typeface="+mn-cs"/>
          </a:endParaRPr>
        </a:p>
      </xdr:txBody>
    </xdr:sp>
    <xdr:clientData/>
  </xdr:oneCellAnchor>
  <xdr:twoCellAnchor>
    <xdr:from>
      <xdr:col>13</xdr:col>
      <xdr:colOff>0</xdr:colOff>
      <xdr:row>33</xdr:row>
      <xdr:rowOff>0</xdr:rowOff>
    </xdr:from>
    <xdr:to>
      <xdr:col>22</xdr:col>
      <xdr:colOff>304800</xdr:colOff>
      <xdr:row>43</xdr:row>
      <xdr:rowOff>177800</xdr:rowOff>
    </xdr:to>
    <xdr:graphicFrame macro="">
      <xdr:nvGraphicFramePr>
        <xdr:cNvPr id="20" name="Gráfico 19">
          <a:extLst>
            <a:ext uri="{FF2B5EF4-FFF2-40B4-BE49-F238E27FC236}">
              <a16:creationId xmlns:a16="http://schemas.microsoft.com/office/drawing/2014/main" id="{8A2BC3FE-761C-47ED-9FD6-C46F4FE455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14</xdr:col>
      <xdr:colOff>57150</xdr:colOff>
      <xdr:row>13</xdr:row>
      <xdr:rowOff>114300</xdr:rowOff>
    </xdr:from>
    <xdr:to>
      <xdr:col>14</xdr:col>
      <xdr:colOff>308610</xdr:colOff>
      <xdr:row>39</xdr:row>
      <xdr:rowOff>114300</xdr:rowOff>
    </xdr:to>
    <xdr:sp macro="" textlink="">
      <xdr:nvSpPr>
        <xdr:cNvPr id="21" name="Rectángulo 20">
          <a:extLst>
            <a:ext uri="{FF2B5EF4-FFF2-40B4-BE49-F238E27FC236}">
              <a16:creationId xmlns:a16="http://schemas.microsoft.com/office/drawing/2014/main" id="{538E4B1E-B1F5-4F77-9D92-0668FD78B86E}"/>
            </a:ext>
          </a:extLst>
        </xdr:cNvPr>
        <xdr:cNvSpPr/>
      </xdr:nvSpPr>
      <xdr:spPr>
        <a:xfrm>
          <a:off x="12492990" y="2491740"/>
          <a:ext cx="251460" cy="9083040"/>
        </a:xfrm>
        <a:prstGeom prst="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oneCellAnchor>
    <xdr:from>
      <xdr:col>22</xdr:col>
      <xdr:colOff>587407</xdr:colOff>
      <xdr:row>20</xdr:row>
      <xdr:rowOff>22103</xdr:rowOff>
    </xdr:from>
    <xdr:ext cx="3461397" cy="405432"/>
    <xdr:sp macro="" textlink="">
      <xdr:nvSpPr>
        <xdr:cNvPr id="22" name="Rectángulo 21">
          <a:extLst>
            <a:ext uri="{FF2B5EF4-FFF2-40B4-BE49-F238E27FC236}">
              <a16:creationId xmlns:a16="http://schemas.microsoft.com/office/drawing/2014/main" id="{ABA4595B-5E9C-409A-98EB-346DEA46A20C}"/>
            </a:ext>
          </a:extLst>
        </xdr:cNvPr>
        <xdr:cNvSpPr/>
      </xdr:nvSpPr>
      <xdr:spPr>
        <a:xfrm>
          <a:off x="19363087" y="3679703"/>
          <a:ext cx="3461397" cy="405432"/>
        </a:xfrm>
        <a:prstGeom prst="rect">
          <a:avLst/>
        </a:prstGeom>
        <a:noFill/>
      </xdr:spPr>
      <xdr:txBody>
        <a:bodyPr wrap="none" lIns="91440" tIns="45720" rIns="91440" bIns="45720">
          <a:spAutoFit/>
        </a:bodyPr>
        <a:lstStyle/>
        <a:p>
          <a:pPr algn="ctr"/>
          <a:r>
            <a:rPr lang="es-ES" sz="2000" b="1" cap="none" spc="0">
              <a:ln w="0"/>
              <a:solidFill>
                <a:schemeClr val="bg1">
                  <a:lumMod val="85000"/>
                </a:schemeClr>
              </a:solidFill>
              <a:effectLst>
                <a:reflection blurRad="6350" stA="53000" endA="300" endPos="35500" dir="5400000" sy="-90000" algn="bl" rotWithShape="0"/>
              </a:effectLst>
            </a:rPr>
            <a:t>IMPERACTIVOS</a:t>
          </a:r>
          <a:r>
            <a:rPr lang="es-ES" sz="2000" b="1" cap="none" spc="0" baseline="0">
              <a:ln w="0"/>
              <a:solidFill>
                <a:schemeClr val="bg1">
                  <a:lumMod val="85000"/>
                </a:schemeClr>
              </a:solidFill>
              <a:effectLst>
                <a:reflection blurRad="6350" stA="53000" endA="300" endPos="35500" dir="5400000" sy="-90000" algn="bl" rotWithShape="0"/>
              </a:effectLst>
            </a:rPr>
            <a:t> ESTRATÉGICOS</a:t>
          </a:r>
          <a:endParaRPr lang="es-ES" sz="2000" b="1" cap="none" spc="0">
            <a:ln w="0"/>
            <a:solidFill>
              <a:schemeClr val="bg1">
                <a:lumMod val="85000"/>
              </a:schemeClr>
            </a:solidFill>
            <a:effectLst>
              <a:reflection blurRad="6350" stA="53000" endA="300" endPos="35500" dir="5400000" sy="-90000" algn="bl" rotWithShape="0"/>
            </a:effectLst>
          </a:endParaRPr>
        </a:p>
      </xdr:txBody>
    </xdr:sp>
    <xdr:clientData/>
  </xdr:oneCellAnchor>
  <xdr:twoCellAnchor>
    <xdr:from>
      <xdr:col>22</xdr:col>
      <xdr:colOff>152400</xdr:colOff>
      <xdr:row>23</xdr:row>
      <xdr:rowOff>76200</xdr:rowOff>
    </xdr:from>
    <xdr:to>
      <xdr:col>24</xdr:col>
      <xdr:colOff>3257550</xdr:colOff>
      <xdr:row>25</xdr:row>
      <xdr:rowOff>0</xdr:rowOff>
    </xdr:to>
    <xdr:sp macro="" textlink="">
      <xdr:nvSpPr>
        <xdr:cNvPr id="23" name="Rectángulo redondeado 4">
          <a:extLst>
            <a:ext uri="{FF2B5EF4-FFF2-40B4-BE49-F238E27FC236}">
              <a16:creationId xmlns:a16="http://schemas.microsoft.com/office/drawing/2014/main" id="{E531D304-147C-435B-94F3-EAD928F973C2}"/>
            </a:ext>
          </a:extLst>
        </xdr:cNvPr>
        <xdr:cNvSpPr/>
      </xdr:nvSpPr>
      <xdr:spPr>
        <a:xfrm>
          <a:off x="18928080" y="4282440"/>
          <a:ext cx="4690110" cy="655320"/>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i="0" u="none" strike="noStrike">
              <a:solidFill>
                <a:schemeClr val="tx1"/>
              </a:solidFill>
              <a:effectLst/>
              <a:latin typeface="Franklin Gothic Book" panose="020B0503020102020204" pitchFamily="34" charset="0"/>
              <a:ea typeface="+mn-ea"/>
              <a:cs typeface="+mn-cs"/>
            </a:rPr>
            <a:t>MODERNIZACIÓN DE SISTEMAS DE INFORMACIÓN  </a:t>
          </a:r>
        </a:p>
      </xdr:txBody>
    </xdr:sp>
    <xdr:clientData/>
  </xdr:twoCellAnchor>
  <xdr:oneCellAnchor>
    <xdr:from>
      <xdr:col>24</xdr:col>
      <xdr:colOff>0</xdr:colOff>
      <xdr:row>25</xdr:row>
      <xdr:rowOff>76200</xdr:rowOff>
    </xdr:from>
    <xdr:ext cx="1863728" cy="796927"/>
    <xdr:sp macro="" textlink="'FORMULAS%'!D19">
      <xdr:nvSpPr>
        <xdr:cNvPr id="24" name="CuadroTexto 23">
          <a:extLst>
            <a:ext uri="{FF2B5EF4-FFF2-40B4-BE49-F238E27FC236}">
              <a16:creationId xmlns:a16="http://schemas.microsoft.com/office/drawing/2014/main" id="{53A0B63A-7B03-4595-BFB1-18E55B1D1D15}"/>
            </a:ext>
          </a:extLst>
        </xdr:cNvPr>
        <xdr:cNvSpPr txBox="1"/>
      </xdr:nvSpPr>
      <xdr:spPr>
        <a:xfrm>
          <a:off x="20360640" y="5013960"/>
          <a:ext cx="186372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71701AA4-C056-41D4-9521-5B543AA5D4F9}" type="TxLink">
            <a:rPr lang="en-US" sz="4800" b="1" i="0" u="none" strike="noStrike">
              <a:solidFill>
                <a:srgbClr val="FFFF00"/>
              </a:solidFill>
              <a:latin typeface="Calibri"/>
              <a:ea typeface="+mn-ea"/>
              <a:cs typeface="Calibri"/>
            </a:rPr>
            <a:pPr marL="0" indent="0" algn="ctr"/>
            <a:t>100,0%</a:t>
          </a:fld>
          <a:endParaRPr lang="es-CO" sz="4800" b="1" i="0" u="none" strike="noStrike">
            <a:solidFill>
              <a:srgbClr val="FFFF00"/>
            </a:solidFill>
            <a:latin typeface="Arial Narrow" panose="020B0606020202030204" pitchFamily="34" charset="0"/>
            <a:ea typeface="+mn-ea"/>
            <a:cs typeface="Calibri"/>
          </a:endParaRPr>
        </a:p>
      </xdr:txBody>
    </xdr:sp>
    <xdr:clientData/>
  </xdr:oneCellAnchor>
  <xdr:twoCellAnchor>
    <xdr:from>
      <xdr:col>22</xdr:col>
      <xdr:colOff>209550</xdr:colOff>
      <xdr:row>26</xdr:row>
      <xdr:rowOff>533400</xdr:rowOff>
    </xdr:from>
    <xdr:to>
      <xdr:col>24</xdr:col>
      <xdr:colOff>3181350</xdr:colOff>
      <xdr:row>28</xdr:row>
      <xdr:rowOff>381000</xdr:rowOff>
    </xdr:to>
    <xdr:sp macro="" textlink="">
      <xdr:nvSpPr>
        <xdr:cNvPr id="25" name="Rectángulo redondeado 7">
          <a:extLst>
            <a:ext uri="{FF2B5EF4-FFF2-40B4-BE49-F238E27FC236}">
              <a16:creationId xmlns:a16="http://schemas.microsoft.com/office/drawing/2014/main" id="{0F86DD5E-FCE6-4FC3-9335-934A17C32E08}"/>
            </a:ext>
          </a:extLst>
        </xdr:cNvPr>
        <xdr:cNvSpPr/>
      </xdr:nvSpPr>
      <xdr:spPr>
        <a:xfrm>
          <a:off x="18985230" y="6019800"/>
          <a:ext cx="4556760" cy="579120"/>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softEdge rad="1270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OPTIMIZACIÓN DE PROCESOS</a:t>
          </a:r>
        </a:p>
      </xdr:txBody>
    </xdr:sp>
    <xdr:clientData/>
  </xdr:twoCellAnchor>
  <xdr:oneCellAnchor>
    <xdr:from>
      <xdr:col>23</xdr:col>
      <xdr:colOff>628650</xdr:colOff>
      <xdr:row>29</xdr:row>
      <xdr:rowOff>72390</xdr:rowOff>
    </xdr:from>
    <xdr:ext cx="1921608" cy="796927"/>
    <xdr:sp macro="" textlink="'FORMULAS%'!D17">
      <xdr:nvSpPr>
        <xdr:cNvPr id="26" name="CuadroTexto 25">
          <a:extLst>
            <a:ext uri="{FF2B5EF4-FFF2-40B4-BE49-F238E27FC236}">
              <a16:creationId xmlns:a16="http://schemas.microsoft.com/office/drawing/2014/main" id="{7842509E-134B-4E14-A22C-49AA6E1FF375}"/>
            </a:ext>
          </a:extLst>
        </xdr:cNvPr>
        <xdr:cNvSpPr txBox="1"/>
      </xdr:nvSpPr>
      <xdr:spPr>
        <a:xfrm>
          <a:off x="20196810" y="682371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5D9C1986-A9C2-46CF-AA68-607870BCA264}" type="TxLink">
            <a:rPr lang="en-US" sz="4800" b="1" i="0" u="none" strike="noStrike">
              <a:solidFill>
                <a:srgbClr val="FFFF00"/>
              </a:solidFill>
              <a:latin typeface="Calibri"/>
              <a:ea typeface="+mn-ea"/>
              <a:cs typeface="Calibri"/>
            </a:rPr>
            <a:pPr marL="0" indent="0" algn="ctr"/>
            <a:t>97,0%</a:t>
          </a:fld>
          <a:endParaRPr lang="es-CO" sz="4800" b="1" i="0" u="none" strike="noStrike">
            <a:solidFill>
              <a:srgbClr val="FFFF00"/>
            </a:solidFill>
            <a:latin typeface="Arial Narrow" panose="020B0606020202030204" pitchFamily="34" charset="0"/>
            <a:ea typeface="+mn-ea"/>
            <a:cs typeface="Calibri"/>
          </a:endParaRPr>
        </a:p>
      </xdr:txBody>
    </xdr:sp>
    <xdr:clientData/>
  </xdr:oneCellAnchor>
  <xdr:twoCellAnchor>
    <xdr:from>
      <xdr:col>22</xdr:col>
      <xdr:colOff>323850</xdr:colOff>
      <xdr:row>32</xdr:row>
      <xdr:rowOff>518161</xdr:rowOff>
    </xdr:from>
    <xdr:to>
      <xdr:col>24</xdr:col>
      <xdr:colOff>3219450</xdr:colOff>
      <xdr:row>33</xdr:row>
      <xdr:rowOff>472440</xdr:rowOff>
    </xdr:to>
    <xdr:sp macro="" textlink="">
      <xdr:nvSpPr>
        <xdr:cNvPr id="27" name="Rectángulo redondeado 9">
          <a:extLst>
            <a:ext uri="{FF2B5EF4-FFF2-40B4-BE49-F238E27FC236}">
              <a16:creationId xmlns:a16="http://schemas.microsoft.com/office/drawing/2014/main" id="{A6302404-2188-4E96-AC76-F0DB257AAFE0}"/>
            </a:ext>
          </a:extLst>
        </xdr:cNvPr>
        <xdr:cNvSpPr/>
      </xdr:nvSpPr>
      <xdr:spPr>
        <a:xfrm>
          <a:off x="19099530" y="7818121"/>
          <a:ext cx="4480560" cy="64007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softEdge rad="63500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POSICIONAMIENTO COMO ENTE RECTOR</a:t>
          </a:r>
        </a:p>
      </xdr:txBody>
    </xdr:sp>
    <xdr:clientData/>
  </xdr:twoCellAnchor>
  <xdr:twoCellAnchor>
    <xdr:from>
      <xdr:col>22</xdr:col>
      <xdr:colOff>285750</xdr:colOff>
      <xdr:row>33</xdr:row>
      <xdr:rowOff>1402081</xdr:rowOff>
    </xdr:from>
    <xdr:to>
      <xdr:col>24</xdr:col>
      <xdr:colOff>3390900</xdr:colOff>
      <xdr:row>34</xdr:row>
      <xdr:rowOff>457200</xdr:rowOff>
    </xdr:to>
    <xdr:sp macro="" textlink="">
      <xdr:nvSpPr>
        <xdr:cNvPr id="28" name="Rectángulo redondeado 11">
          <a:extLst>
            <a:ext uri="{FF2B5EF4-FFF2-40B4-BE49-F238E27FC236}">
              <a16:creationId xmlns:a16="http://schemas.microsoft.com/office/drawing/2014/main" id="{6CBFEE65-23D8-4A78-9834-8CECAF2E7590}"/>
            </a:ext>
          </a:extLst>
        </xdr:cNvPr>
        <xdr:cNvSpPr/>
      </xdr:nvSpPr>
      <xdr:spPr>
        <a:xfrm>
          <a:off x="19061430" y="9387841"/>
          <a:ext cx="4690110" cy="64007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 RESPALDO JURÍDICO QUE GENERA CONFIANZA. </a:t>
          </a:r>
        </a:p>
      </xdr:txBody>
    </xdr:sp>
    <xdr:clientData/>
  </xdr:twoCellAnchor>
  <xdr:oneCellAnchor>
    <xdr:from>
      <xdr:col>23</xdr:col>
      <xdr:colOff>689610</xdr:colOff>
      <xdr:row>33</xdr:row>
      <xdr:rowOff>537210</xdr:rowOff>
    </xdr:from>
    <xdr:ext cx="1921608" cy="796927"/>
    <xdr:sp macro="" textlink="'FORMULAS%'!D16">
      <xdr:nvSpPr>
        <xdr:cNvPr id="29" name="CuadroTexto 28">
          <a:extLst>
            <a:ext uri="{FF2B5EF4-FFF2-40B4-BE49-F238E27FC236}">
              <a16:creationId xmlns:a16="http://schemas.microsoft.com/office/drawing/2014/main" id="{6FAD20D3-8BB1-43AD-96EB-B2F1690FE4C6}"/>
            </a:ext>
          </a:extLst>
        </xdr:cNvPr>
        <xdr:cNvSpPr txBox="1"/>
      </xdr:nvSpPr>
      <xdr:spPr>
        <a:xfrm>
          <a:off x="20257770" y="852297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AA2D820C-7CE0-4A64-9368-CA7B33CD5503}" type="TxLink">
            <a:rPr lang="en-US" sz="4800" b="1" i="0" u="none" strike="noStrike">
              <a:solidFill>
                <a:srgbClr val="FFFF00"/>
              </a:solidFill>
              <a:latin typeface="Calibri"/>
              <a:ea typeface="+mn-ea"/>
              <a:cs typeface="Calibri"/>
            </a:rPr>
            <a:pPr marL="0" indent="0" algn="ctr"/>
            <a:t>96,1%</a:t>
          </a:fld>
          <a:endParaRPr lang="es-CO" sz="4800" b="1" i="0" u="none" strike="noStrike">
            <a:solidFill>
              <a:srgbClr val="FFFF00"/>
            </a:solidFill>
            <a:latin typeface="Arial Narrow" panose="020B0606020202030204" pitchFamily="34" charset="0"/>
            <a:ea typeface="+mn-ea"/>
            <a:cs typeface="Calibri"/>
          </a:endParaRPr>
        </a:p>
      </xdr:txBody>
    </xdr:sp>
    <xdr:clientData/>
  </xdr:oneCellAnchor>
  <xdr:oneCellAnchor>
    <xdr:from>
      <xdr:col>23</xdr:col>
      <xdr:colOff>701040</xdr:colOff>
      <xdr:row>34</xdr:row>
      <xdr:rowOff>579120</xdr:rowOff>
    </xdr:from>
    <xdr:ext cx="1921608" cy="796927"/>
    <xdr:sp macro="" textlink="'FORMULAS%'!D18">
      <xdr:nvSpPr>
        <xdr:cNvPr id="30" name="CuadroTexto 29">
          <a:extLst>
            <a:ext uri="{FF2B5EF4-FFF2-40B4-BE49-F238E27FC236}">
              <a16:creationId xmlns:a16="http://schemas.microsoft.com/office/drawing/2014/main" id="{6B2F9155-437E-4CEF-B467-9180A364895F}"/>
            </a:ext>
          </a:extLst>
        </xdr:cNvPr>
        <xdr:cNvSpPr txBox="1"/>
      </xdr:nvSpPr>
      <xdr:spPr>
        <a:xfrm>
          <a:off x="20269200" y="1014984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87C7CF57-C90D-46E7-8D87-873117E24F68}" type="TxLink">
            <a:rPr lang="en-US" sz="4800" b="1" i="0" u="none" strike="noStrike">
              <a:solidFill>
                <a:srgbClr val="FFFF00"/>
              </a:solidFill>
              <a:latin typeface="Calibri"/>
              <a:ea typeface="+mn-ea"/>
              <a:cs typeface="Calibri"/>
            </a:rPr>
            <a:pPr marL="0" indent="0" algn="ctr"/>
            <a:t>100,0%</a:t>
          </a:fld>
          <a:endParaRPr lang="es-CO" sz="4800" b="1" i="0" u="none" strike="noStrike">
            <a:solidFill>
              <a:srgbClr val="FFFF00"/>
            </a:solidFill>
            <a:latin typeface="Arial Narrow" panose="020B0606020202030204" pitchFamily="34" charset="0"/>
            <a:ea typeface="+mn-ea"/>
            <a:cs typeface="Calibri"/>
          </a:endParaRPr>
        </a:p>
      </xdr:txBody>
    </xdr:sp>
    <xdr:clientData/>
  </xdr:oneCellAnchor>
  <xdr:oneCellAnchor>
    <xdr:from>
      <xdr:col>24</xdr:col>
      <xdr:colOff>4562537</xdr:colOff>
      <xdr:row>14</xdr:row>
      <xdr:rowOff>41494</xdr:rowOff>
    </xdr:from>
    <xdr:ext cx="3450240" cy="781111"/>
    <xdr:sp macro="" textlink="">
      <xdr:nvSpPr>
        <xdr:cNvPr id="31" name="Rectángulo 30">
          <a:extLst>
            <a:ext uri="{FF2B5EF4-FFF2-40B4-BE49-F238E27FC236}">
              <a16:creationId xmlns:a16="http://schemas.microsoft.com/office/drawing/2014/main" id="{0F235C70-0239-4AAA-9A74-49E455C224EB}"/>
            </a:ext>
          </a:extLst>
        </xdr:cNvPr>
        <xdr:cNvSpPr/>
      </xdr:nvSpPr>
      <xdr:spPr>
        <a:xfrm>
          <a:off x="24923177" y="2601814"/>
          <a:ext cx="3450240" cy="781111"/>
        </a:xfrm>
        <a:prstGeom prst="rect">
          <a:avLst/>
        </a:prstGeom>
        <a:noFill/>
      </xdr:spPr>
      <xdr:txBody>
        <a:bodyPr wrap="none" lIns="91440" tIns="45720" rIns="91440" bIns="45720">
          <a:spAutoFit/>
        </a:bodyPr>
        <a:lstStyle/>
        <a:p>
          <a:pPr algn="ctr"/>
          <a:r>
            <a:rPr lang="es-ES" sz="4400" b="1" cap="none" spc="0">
              <a:ln w="0"/>
              <a:solidFill>
                <a:schemeClr val="bg1">
                  <a:lumMod val="85000"/>
                </a:schemeClr>
              </a:solidFill>
              <a:effectLst>
                <a:reflection blurRad="6350" stA="53000" endA="300" endPos="35500" dir="5400000" sy="-90000" algn="bl" rotWithShape="0"/>
              </a:effectLst>
            </a:rPr>
            <a:t>INDICADORES</a:t>
          </a:r>
        </a:p>
      </xdr:txBody>
    </xdr:sp>
    <xdr:clientData/>
  </xdr:oneCellAnchor>
  <xdr:twoCellAnchor>
    <xdr:from>
      <xdr:col>27</xdr:col>
      <xdr:colOff>875452</xdr:colOff>
      <xdr:row>16</xdr:row>
      <xdr:rowOff>108373</xdr:rowOff>
    </xdr:from>
    <xdr:to>
      <xdr:col>31</xdr:col>
      <xdr:colOff>1714500</xdr:colOff>
      <xdr:row>26</xdr:row>
      <xdr:rowOff>147743</xdr:rowOff>
    </xdr:to>
    <xdr:graphicFrame macro="">
      <xdr:nvGraphicFramePr>
        <xdr:cNvPr id="32" name="Gráfico 31">
          <a:extLst>
            <a:ext uri="{FF2B5EF4-FFF2-40B4-BE49-F238E27FC236}">
              <a16:creationId xmlns:a16="http://schemas.microsoft.com/office/drawing/2014/main" id="{836AE754-20C4-4451-8FF8-5026AA3E5F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24</xdr:col>
      <xdr:colOff>4914900</xdr:colOff>
      <xdr:row>30</xdr:row>
      <xdr:rowOff>49108</xdr:rowOff>
    </xdr:from>
    <xdr:to>
      <xdr:col>26</xdr:col>
      <xdr:colOff>990600</xdr:colOff>
      <xdr:row>32</xdr:row>
      <xdr:rowOff>314960</xdr:rowOff>
    </xdr:to>
    <xdr:sp macro="" textlink="">
      <xdr:nvSpPr>
        <xdr:cNvPr id="33" name="Rectángulo redondeado 11">
          <a:extLst>
            <a:ext uri="{FF2B5EF4-FFF2-40B4-BE49-F238E27FC236}">
              <a16:creationId xmlns:a16="http://schemas.microsoft.com/office/drawing/2014/main" id="{18B95B62-4F32-40CE-8231-020B8CB81608}"/>
            </a:ext>
          </a:extLst>
        </xdr:cNvPr>
        <xdr:cNvSpPr/>
      </xdr:nvSpPr>
      <xdr:spPr>
        <a:xfrm>
          <a:off x="25275540" y="6983308"/>
          <a:ext cx="3002280" cy="631612"/>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 TOTAL</a:t>
          </a:r>
          <a:r>
            <a:rPr lang="es-CO" sz="1600" b="1" i="0" u="none" strike="noStrike" baseline="0">
              <a:solidFill>
                <a:schemeClr val="tx1"/>
              </a:solidFill>
              <a:effectLst/>
              <a:latin typeface="Franklin Gothic Book" panose="020B0503020102020204" pitchFamily="34" charset="0"/>
              <a:ea typeface="+mn-ea"/>
              <a:cs typeface="+mn-cs"/>
            </a:rPr>
            <a:t> DE INDICADORES ACTIVOS</a:t>
          </a:r>
          <a:endParaRPr lang="es-CO" sz="1600" b="1" i="0" u="none" strike="noStrike">
            <a:solidFill>
              <a:schemeClr val="tx1"/>
            </a:solidFill>
            <a:effectLst/>
            <a:latin typeface="Franklin Gothic Book" panose="020B0503020102020204" pitchFamily="34" charset="0"/>
            <a:ea typeface="+mn-ea"/>
            <a:cs typeface="+mn-cs"/>
          </a:endParaRPr>
        </a:p>
      </xdr:txBody>
    </xdr:sp>
    <xdr:clientData/>
  </xdr:twoCellAnchor>
  <xdr:oneCellAnchor>
    <xdr:from>
      <xdr:col>26</xdr:col>
      <xdr:colOff>828887</xdr:colOff>
      <xdr:row>29</xdr:row>
      <xdr:rowOff>146472</xdr:rowOff>
    </xdr:from>
    <xdr:ext cx="1921608" cy="796927"/>
    <xdr:sp macro="" textlink="'FORMULAS%'!Q2">
      <xdr:nvSpPr>
        <xdr:cNvPr id="34" name="CuadroTexto 33">
          <a:extLst>
            <a:ext uri="{FF2B5EF4-FFF2-40B4-BE49-F238E27FC236}">
              <a16:creationId xmlns:a16="http://schemas.microsoft.com/office/drawing/2014/main" id="{CDCE8921-AB98-4D81-BAE2-957FBD1735F4}"/>
            </a:ext>
          </a:extLst>
        </xdr:cNvPr>
        <xdr:cNvSpPr txBox="1"/>
      </xdr:nvSpPr>
      <xdr:spPr>
        <a:xfrm>
          <a:off x="28116107" y="6897792"/>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47646701-2288-4608-9E6D-38116306F361}" type="TxLink">
            <a:rPr lang="en-US" sz="6000" b="1" i="0" u="none" strike="noStrike">
              <a:solidFill>
                <a:srgbClr val="FFFF00"/>
              </a:solidFill>
              <a:latin typeface="Calibri"/>
              <a:ea typeface="+mn-ea"/>
              <a:cs typeface="Calibri"/>
            </a:rPr>
            <a:pPr marL="0" indent="0" algn="ctr"/>
            <a:t>64</a:t>
          </a:fld>
          <a:endParaRPr lang="es-CO" sz="6000" b="1" i="0" u="none" strike="noStrike">
            <a:solidFill>
              <a:srgbClr val="FFFF00"/>
            </a:solidFill>
            <a:latin typeface="Arial Narrow" panose="020B0606020202030204" pitchFamily="34" charset="0"/>
            <a:ea typeface="+mn-ea"/>
            <a:cs typeface="Calibri"/>
          </a:endParaRPr>
        </a:p>
      </xdr:txBody>
    </xdr:sp>
    <xdr:clientData/>
  </xdr:oneCellAnchor>
  <xdr:twoCellAnchor>
    <xdr:from>
      <xdr:col>24</xdr:col>
      <xdr:colOff>4914899</xdr:colOff>
      <xdr:row>33</xdr:row>
      <xdr:rowOff>593091</xdr:rowOff>
    </xdr:from>
    <xdr:to>
      <xdr:col>26</xdr:col>
      <xdr:colOff>1032932</xdr:colOff>
      <xdr:row>33</xdr:row>
      <xdr:rowOff>1239943</xdr:rowOff>
    </xdr:to>
    <xdr:sp macro="" textlink="">
      <xdr:nvSpPr>
        <xdr:cNvPr id="35" name="Rectángulo redondeado 11">
          <a:extLst>
            <a:ext uri="{FF2B5EF4-FFF2-40B4-BE49-F238E27FC236}">
              <a16:creationId xmlns:a16="http://schemas.microsoft.com/office/drawing/2014/main" id="{83B038FD-1558-4BF6-A838-908AD66F5E62}"/>
            </a:ext>
          </a:extLst>
        </xdr:cNvPr>
        <xdr:cNvSpPr/>
      </xdr:nvSpPr>
      <xdr:spPr>
        <a:xfrm>
          <a:off x="25275539" y="8578851"/>
          <a:ext cx="3044613" cy="646852"/>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 TOTAL</a:t>
          </a:r>
          <a:r>
            <a:rPr lang="es-CO" sz="1600" b="1" i="0" u="none" strike="noStrike" baseline="0">
              <a:solidFill>
                <a:schemeClr val="tx1"/>
              </a:solidFill>
              <a:effectLst/>
              <a:latin typeface="Franklin Gothic Book" panose="020B0503020102020204" pitchFamily="34" charset="0"/>
              <a:ea typeface="+mn-ea"/>
              <a:cs typeface="+mn-cs"/>
            </a:rPr>
            <a:t> CUMPLIDOS</a:t>
          </a:r>
          <a:endParaRPr lang="es-CO" sz="1600" b="1" i="0" u="none" strike="noStrike">
            <a:solidFill>
              <a:schemeClr val="tx1"/>
            </a:solidFill>
            <a:effectLst/>
            <a:latin typeface="Franklin Gothic Book" panose="020B0503020102020204" pitchFamily="34" charset="0"/>
            <a:ea typeface="+mn-ea"/>
            <a:cs typeface="+mn-cs"/>
          </a:endParaRPr>
        </a:p>
      </xdr:txBody>
    </xdr:sp>
    <xdr:clientData/>
  </xdr:twoCellAnchor>
  <xdr:oneCellAnchor>
    <xdr:from>
      <xdr:col>26</xdr:col>
      <xdr:colOff>909320</xdr:colOff>
      <xdr:row>33</xdr:row>
      <xdr:rowOff>485139</xdr:rowOff>
    </xdr:from>
    <xdr:ext cx="1921608" cy="796927"/>
    <xdr:sp macro="" textlink="'FORMULAS%'!X2">
      <xdr:nvSpPr>
        <xdr:cNvPr id="36" name="CuadroTexto 35">
          <a:extLst>
            <a:ext uri="{FF2B5EF4-FFF2-40B4-BE49-F238E27FC236}">
              <a16:creationId xmlns:a16="http://schemas.microsoft.com/office/drawing/2014/main" id="{1C5A9022-F84E-4E29-B92E-58DBF55421BC}"/>
            </a:ext>
          </a:extLst>
        </xdr:cNvPr>
        <xdr:cNvSpPr txBox="1"/>
      </xdr:nvSpPr>
      <xdr:spPr>
        <a:xfrm>
          <a:off x="28196540" y="8470899"/>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BBB50DD9-8006-41A8-AEB4-7C9F3DB61C4B}" type="TxLink">
            <a:rPr lang="en-US" sz="6000" b="1" i="0" u="none" strike="noStrike">
              <a:solidFill>
                <a:srgbClr val="FFFF00"/>
              </a:solidFill>
              <a:latin typeface="Calibri"/>
              <a:ea typeface="+mn-ea"/>
              <a:cs typeface="Calibri"/>
            </a:rPr>
            <a:pPr marL="0" indent="0" algn="ctr"/>
            <a:t>58</a:t>
          </a:fld>
          <a:endParaRPr lang="es-CO" sz="6000" b="1" i="0" u="none" strike="noStrike">
            <a:solidFill>
              <a:srgbClr val="FFFF00"/>
            </a:solidFill>
            <a:latin typeface="Arial Narrow" panose="020B0606020202030204" pitchFamily="34" charset="0"/>
            <a:ea typeface="+mn-ea"/>
            <a:cs typeface="Calibri"/>
          </a:endParaRPr>
        </a:p>
      </xdr:txBody>
    </xdr:sp>
    <xdr:clientData/>
  </xdr:oneCellAnchor>
  <xdr:twoCellAnchor>
    <xdr:from>
      <xdr:col>1</xdr:col>
      <xdr:colOff>0</xdr:colOff>
      <xdr:row>39</xdr:row>
      <xdr:rowOff>157555</xdr:rowOff>
    </xdr:from>
    <xdr:to>
      <xdr:col>31</xdr:col>
      <xdr:colOff>2762250</xdr:colOff>
      <xdr:row>40</xdr:row>
      <xdr:rowOff>152400</xdr:rowOff>
    </xdr:to>
    <xdr:sp macro="" textlink="">
      <xdr:nvSpPr>
        <xdr:cNvPr id="37" name="Rectángulo 36">
          <a:extLst>
            <a:ext uri="{FF2B5EF4-FFF2-40B4-BE49-F238E27FC236}">
              <a16:creationId xmlns:a16="http://schemas.microsoft.com/office/drawing/2014/main" id="{623F0D2E-2228-4494-95D9-2853788A6949}"/>
            </a:ext>
          </a:extLst>
        </xdr:cNvPr>
        <xdr:cNvSpPr/>
      </xdr:nvSpPr>
      <xdr:spPr>
        <a:xfrm>
          <a:off x="53340" y="11618035"/>
          <a:ext cx="36587430" cy="177725"/>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a:p>
      </xdr:txBody>
    </xdr:sp>
    <xdr:clientData/>
  </xdr:twoCellAnchor>
  <xdr:twoCellAnchor>
    <xdr:from>
      <xdr:col>22</xdr:col>
      <xdr:colOff>571500</xdr:colOff>
      <xdr:row>41</xdr:row>
      <xdr:rowOff>38100</xdr:rowOff>
    </xdr:from>
    <xdr:to>
      <xdr:col>22</xdr:col>
      <xdr:colOff>704850</xdr:colOff>
      <xdr:row>114</xdr:row>
      <xdr:rowOff>114300</xdr:rowOff>
    </xdr:to>
    <xdr:sp macro="" textlink="">
      <xdr:nvSpPr>
        <xdr:cNvPr id="38" name="Rectángulo 37">
          <a:extLst>
            <a:ext uri="{FF2B5EF4-FFF2-40B4-BE49-F238E27FC236}">
              <a16:creationId xmlns:a16="http://schemas.microsoft.com/office/drawing/2014/main" id="{E7F07BE9-E0A1-41C7-8520-469D19ED36FC}"/>
            </a:ext>
          </a:extLst>
        </xdr:cNvPr>
        <xdr:cNvSpPr/>
      </xdr:nvSpPr>
      <xdr:spPr>
        <a:xfrm flipH="1">
          <a:off x="19347180" y="11864340"/>
          <a:ext cx="133350" cy="22158960"/>
        </a:xfrm>
        <a:prstGeom prst="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oneCellAnchor>
    <xdr:from>
      <xdr:col>5</xdr:col>
      <xdr:colOff>545147</xdr:colOff>
      <xdr:row>42</xdr:row>
      <xdr:rowOff>95250</xdr:rowOff>
    </xdr:from>
    <xdr:ext cx="8684558" cy="781111"/>
    <xdr:sp macro="" textlink="">
      <xdr:nvSpPr>
        <xdr:cNvPr id="39" name="Rectángulo 38">
          <a:extLst>
            <a:ext uri="{FF2B5EF4-FFF2-40B4-BE49-F238E27FC236}">
              <a16:creationId xmlns:a16="http://schemas.microsoft.com/office/drawing/2014/main" id="{52A3379C-1289-4817-9DDA-81D8A69B37FF}"/>
            </a:ext>
          </a:extLst>
        </xdr:cNvPr>
        <xdr:cNvSpPr/>
      </xdr:nvSpPr>
      <xdr:spPr>
        <a:xfrm>
          <a:off x="3768407" y="12104370"/>
          <a:ext cx="8684558" cy="781111"/>
        </a:xfrm>
        <a:prstGeom prst="rect">
          <a:avLst/>
        </a:prstGeom>
        <a:noFill/>
      </xdr:spPr>
      <xdr:txBody>
        <a:bodyPr wrap="none" lIns="91440" tIns="45720" rIns="91440" bIns="45720">
          <a:spAutoFit/>
        </a:bodyPr>
        <a:lstStyle/>
        <a:p>
          <a:pPr algn="ctr"/>
          <a:r>
            <a:rPr lang="es-ES" sz="4400" b="1" cap="none" spc="0">
              <a:ln w="0"/>
              <a:solidFill>
                <a:schemeClr val="bg1">
                  <a:lumMod val="85000"/>
                </a:schemeClr>
              </a:solidFill>
              <a:effectLst>
                <a:reflection blurRad="6350" stA="53000" endA="300" endPos="35500" dir="5400000" sy="-90000" algn="bl" rotWithShape="0"/>
              </a:effectLst>
            </a:rPr>
            <a:t>HOJA DE VIDA DE</a:t>
          </a:r>
          <a:r>
            <a:rPr lang="es-ES" sz="4400" b="1" cap="none" spc="0" baseline="0">
              <a:ln w="0"/>
              <a:solidFill>
                <a:schemeClr val="bg1">
                  <a:lumMod val="85000"/>
                </a:schemeClr>
              </a:solidFill>
              <a:effectLst>
                <a:reflection blurRad="6350" stA="53000" endA="300" endPos="35500" dir="5400000" sy="-90000" algn="bl" rotWithShape="0"/>
              </a:effectLst>
            </a:rPr>
            <a:t> LOS </a:t>
          </a:r>
          <a:r>
            <a:rPr lang="es-ES" sz="4400" b="1" cap="none" spc="0">
              <a:ln w="0"/>
              <a:solidFill>
                <a:schemeClr val="bg1">
                  <a:lumMod val="85000"/>
                </a:schemeClr>
              </a:solidFill>
              <a:effectLst>
                <a:reflection blurRad="6350" stA="53000" endA="300" endPos="35500" dir="5400000" sy="-90000" algn="bl" rotWithShape="0"/>
              </a:effectLst>
            </a:rPr>
            <a:t>INDICADORES</a:t>
          </a:r>
        </a:p>
      </xdr:txBody>
    </xdr:sp>
    <xdr:clientData/>
  </xdr:oneCellAnchor>
  <xdr:oneCellAnchor>
    <xdr:from>
      <xdr:col>24</xdr:col>
      <xdr:colOff>4395189</xdr:colOff>
      <xdr:row>42</xdr:row>
      <xdr:rowOff>19050</xdr:rowOff>
    </xdr:from>
    <xdr:ext cx="6486135" cy="781111"/>
    <xdr:sp macro="" textlink="">
      <xdr:nvSpPr>
        <xdr:cNvPr id="40" name="Rectángulo 39">
          <a:extLst>
            <a:ext uri="{FF2B5EF4-FFF2-40B4-BE49-F238E27FC236}">
              <a16:creationId xmlns:a16="http://schemas.microsoft.com/office/drawing/2014/main" id="{9C99DA92-8D69-4C2D-A28D-5E48C11B0A00}"/>
            </a:ext>
          </a:extLst>
        </xdr:cNvPr>
        <xdr:cNvSpPr/>
      </xdr:nvSpPr>
      <xdr:spPr>
        <a:xfrm>
          <a:off x="24755829" y="12028170"/>
          <a:ext cx="6486135" cy="781111"/>
        </a:xfrm>
        <a:prstGeom prst="rect">
          <a:avLst/>
        </a:prstGeom>
        <a:noFill/>
      </xdr:spPr>
      <xdr:txBody>
        <a:bodyPr wrap="none" lIns="91440" tIns="45720" rIns="91440" bIns="45720">
          <a:spAutoFit/>
        </a:bodyPr>
        <a:lstStyle/>
        <a:p>
          <a:pPr algn="ctr"/>
          <a:r>
            <a:rPr lang="es-ES" sz="4400" b="1" cap="none" spc="0">
              <a:ln w="0"/>
              <a:solidFill>
                <a:schemeClr val="bg1">
                  <a:lumMod val="85000"/>
                </a:schemeClr>
              </a:solidFill>
              <a:effectLst>
                <a:reflection blurRad="6350" stA="53000" endA="300" endPos="35500" dir="5400000" sy="-90000" algn="bl" rotWithShape="0"/>
              </a:effectLst>
            </a:rPr>
            <a:t>RESULTADO POR PROCESO</a:t>
          </a:r>
        </a:p>
      </xdr:txBody>
    </xdr:sp>
    <xdr:clientData/>
  </xdr:oneCellAnchor>
  <xdr:twoCellAnchor>
    <xdr:from>
      <xdr:col>13</xdr:col>
      <xdr:colOff>15240</xdr:colOff>
      <xdr:row>63</xdr:row>
      <xdr:rowOff>6342</xdr:rowOff>
    </xdr:from>
    <xdr:to>
      <xdr:col>16</xdr:col>
      <xdr:colOff>9071</xdr:colOff>
      <xdr:row>64</xdr:row>
      <xdr:rowOff>139700</xdr:rowOff>
    </xdr:to>
    <xdr:sp macro="" textlink="">
      <xdr:nvSpPr>
        <xdr:cNvPr id="41" name="Rectángulo redondeado 10">
          <a:extLst>
            <a:ext uri="{FF2B5EF4-FFF2-40B4-BE49-F238E27FC236}">
              <a16:creationId xmlns:a16="http://schemas.microsoft.com/office/drawing/2014/main" id="{AC7F9BD7-4926-4265-9C88-BDFD5294C89A}"/>
            </a:ext>
          </a:extLst>
        </xdr:cNvPr>
        <xdr:cNvSpPr/>
      </xdr:nvSpPr>
      <xdr:spPr>
        <a:xfrm>
          <a:off x="11407140" y="21311862"/>
          <a:ext cx="2622731" cy="392438"/>
        </a:xfrm>
        <a:prstGeom prst="roundRect">
          <a:avLst/>
        </a:prstGeom>
        <a:solidFill>
          <a:srgbClr val="FFFF00"/>
        </a:solidFill>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algn="ctr"/>
          <a:r>
            <a:rPr lang="es-CO" sz="1500" b="1" cap="none" spc="50">
              <a:ln w="0"/>
              <a:solidFill>
                <a:schemeClr val="tx1"/>
              </a:solidFill>
              <a:effectLst>
                <a:innerShdw blurRad="63500" dist="50800" dir="13500000">
                  <a:srgbClr val="000000">
                    <a:alpha val="50000"/>
                  </a:srgbClr>
                </a:innerShdw>
              </a:effectLst>
              <a:latin typeface="Century Gothic" panose="020B0502020202020204" pitchFamily="34" charset="0"/>
            </a:rPr>
            <a:t>ANUALIZACIÓN</a:t>
          </a:r>
        </a:p>
      </xdr:txBody>
    </xdr:sp>
    <xdr:clientData/>
  </xdr:twoCellAnchor>
  <xdr:twoCellAnchor>
    <xdr:from>
      <xdr:col>12</xdr:col>
      <xdr:colOff>761999</xdr:colOff>
      <xdr:row>67</xdr:row>
      <xdr:rowOff>2412</xdr:rowOff>
    </xdr:from>
    <xdr:to>
      <xdr:col>16</xdr:col>
      <xdr:colOff>19198</xdr:colOff>
      <xdr:row>68</xdr:row>
      <xdr:rowOff>106680</xdr:rowOff>
    </xdr:to>
    <xdr:sp macro="" textlink="">
      <xdr:nvSpPr>
        <xdr:cNvPr id="42" name="Rectángulo redondeado 18">
          <a:extLst>
            <a:ext uri="{FF2B5EF4-FFF2-40B4-BE49-F238E27FC236}">
              <a16:creationId xmlns:a16="http://schemas.microsoft.com/office/drawing/2014/main" id="{C4B86413-0867-4144-B6EE-2B541A555A22}"/>
            </a:ext>
          </a:extLst>
        </xdr:cNvPr>
        <xdr:cNvSpPr/>
      </xdr:nvSpPr>
      <xdr:spPr>
        <a:xfrm>
          <a:off x="11361419" y="22359492"/>
          <a:ext cx="2678579" cy="294768"/>
        </a:xfrm>
        <a:prstGeom prst="roundRect">
          <a:avLst/>
        </a:prstGeom>
        <a:solidFill>
          <a:srgbClr val="FFFF00"/>
        </a:solidFill>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algn="ctr"/>
          <a:r>
            <a:rPr lang="es-CO" sz="1500" b="1" cap="none" spc="50">
              <a:ln w="0"/>
              <a:solidFill>
                <a:schemeClr val="tx1"/>
              </a:solidFill>
              <a:effectLst>
                <a:innerShdw blurRad="63500" dist="50800" dir="13500000">
                  <a:srgbClr val="000000">
                    <a:alpha val="50000"/>
                  </a:srgbClr>
                </a:innerShdw>
              </a:effectLst>
              <a:latin typeface="Century Gothic" panose="020B0502020202020204" pitchFamily="34" charset="0"/>
            </a:rPr>
            <a:t>PERIODICIDAD</a:t>
          </a:r>
        </a:p>
      </xdr:txBody>
    </xdr:sp>
    <xdr:clientData/>
  </xdr:twoCellAnchor>
  <xdr:twoCellAnchor>
    <xdr:from>
      <xdr:col>12</xdr:col>
      <xdr:colOff>777240</xdr:colOff>
      <xdr:row>71</xdr:row>
      <xdr:rowOff>17070</xdr:rowOff>
    </xdr:from>
    <xdr:to>
      <xdr:col>16</xdr:col>
      <xdr:colOff>7254</xdr:colOff>
      <xdr:row>72</xdr:row>
      <xdr:rowOff>137160</xdr:rowOff>
    </xdr:to>
    <xdr:sp macro="" textlink="">
      <xdr:nvSpPr>
        <xdr:cNvPr id="43" name="Rectángulo redondeado 19">
          <a:extLst>
            <a:ext uri="{FF2B5EF4-FFF2-40B4-BE49-F238E27FC236}">
              <a16:creationId xmlns:a16="http://schemas.microsoft.com/office/drawing/2014/main" id="{69377412-8FEA-484A-B174-2E4FB36DD293}"/>
            </a:ext>
          </a:extLst>
        </xdr:cNvPr>
        <xdr:cNvSpPr/>
      </xdr:nvSpPr>
      <xdr:spPr>
        <a:xfrm>
          <a:off x="11376660" y="23471430"/>
          <a:ext cx="2651394" cy="386790"/>
        </a:xfrm>
        <a:prstGeom prst="roundRect">
          <a:avLst/>
        </a:prstGeom>
        <a:solidFill>
          <a:srgbClr val="FFFF00"/>
        </a:solidFill>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algn="ctr"/>
          <a:r>
            <a:rPr lang="es-CO" sz="1500" b="1" cap="none" spc="50">
              <a:ln w="0"/>
              <a:solidFill>
                <a:schemeClr val="tx1"/>
              </a:solidFill>
              <a:effectLst>
                <a:innerShdw blurRad="63500" dist="50800" dir="13500000">
                  <a:srgbClr val="000000">
                    <a:alpha val="50000"/>
                  </a:srgbClr>
                </a:innerShdw>
              </a:effectLst>
              <a:latin typeface="Century Gothic" panose="020B0502020202020204" pitchFamily="34" charset="0"/>
            </a:rPr>
            <a:t>TIPO</a:t>
          </a:r>
        </a:p>
      </xdr:txBody>
    </xdr:sp>
    <xdr:clientData/>
  </xdr:twoCellAnchor>
  <xdr:twoCellAnchor>
    <xdr:from>
      <xdr:col>2</xdr:col>
      <xdr:colOff>60960</xdr:colOff>
      <xdr:row>78</xdr:row>
      <xdr:rowOff>25399</xdr:rowOff>
    </xdr:from>
    <xdr:to>
      <xdr:col>5</xdr:col>
      <xdr:colOff>0</xdr:colOff>
      <xdr:row>81</xdr:row>
      <xdr:rowOff>0</xdr:rowOff>
    </xdr:to>
    <xdr:sp macro="" textlink="">
      <xdr:nvSpPr>
        <xdr:cNvPr id="44" name="Rectángulo redondeado 14">
          <a:extLst>
            <a:ext uri="{FF2B5EF4-FFF2-40B4-BE49-F238E27FC236}">
              <a16:creationId xmlns:a16="http://schemas.microsoft.com/office/drawing/2014/main" id="{24363405-A8BD-47C4-9E61-34C18555A403}"/>
            </a:ext>
          </a:extLst>
        </xdr:cNvPr>
        <xdr:cNvSpPr>
          <a:spLocks noChangeAspect="1"/>
        </xdr:cNvSpPr>
      </xdr:nvSpPr>
      <xdr:spPr>
        <a:xfrm>
          <a:off x="906780" y="25186639"/>
          <a:ext cx="2316480" cy="728981"/>
        </a:xfrm>
        <a:prstGeom prst="roundRect">
          <a:avLst/>
        </a:prstGeom>
        <a:solidFill>
          <a:srgbClr val="FFFF00"/>
        </a:solidFill>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marL="0" indent="0" algn="ctr"/>
          <a:r>
            <a:rPr lang="es-CO" sz="1500" b="1" cap="none" spc="50">
              <a:ln w="0"/>
              <a:solidFill>
                <a:sysClr val="windowText" lastClr="000000"/>
              </a:solidFill>
              <a:effectLst>
                <a:innerShdw blurRad="63500" dist="50800" dir="13500000">
                  <a:srgbClr val="000000">
                    <a:alpha val="50000"/>
                  </a:srgbClr>
                </a:innerShdw>
              </a:effectLst>
              <a:latin typeface="Century Gothic" panose="020B0502020202020204" pitchFamily="34" charset="0"/>
              <a:ea typeface="+mn-ea"/>
              <a:cs typeface="+mn-cs"/>
            </a:rPr>
            <a:t>ANALÍSIS DEL PERIODO:</a:t>
          </a:r>
        </a:p>
      </xdr:txBody>
    </xdr:sp>
    <xdr:clientData/>
  </xdr:twoCellAnchor>
  <xdr:oneCellAnchor>
    <xdr:from>
      <xdr:col>17</xdr:col>
      <xdr:colOff>434391</xdr:colOff>
      <xdr:row>77</xdr:row>
      <xdr:rowOff>270510</xdr:rowOff>
    </xdr:from>
    <xdr:ext cx="3168240" cy="530658"/>
    <xdr:sp macro="" textlink="">
      <xdr:nvSpPr>
        <xdr:cNvPr id="45" name="Rectángulo 44">
          <a:extLst>
            <a:ext uri="{FF2B5EF4-FFF2-40B4-BE49-F238E27FC236}">
              <a16:creationId xmlns:a16="http://schemas.microsoft.com/office/drawing/2014/main" id="{C8DB7CBA-45C7-40EA-85FC-C7F75C1F8C1D}"/>
            </a:ext>
          </a:extLst>
        </xdr:cNvPr>
        <xdr:cNvSpPr/>
      </xdr:nvSpPr>
      <xdr:spPr>
        <a:xfrm>
          <a:off x="15247671" y="25157430"/>
          <a:ext cx="3168240" cy="530658"/>
        </a:xfrm>
        <a:prstGeom prst="rect">
          <a:avLst/>
        </a:prstGeom>
        <a:noFill/>
      </xdr:spPr>
      <xdr:txBody>
        <a:bodyPr wrap="none" lIns="91440" tIns="45720" rIns="91440" bIns="45720">
          <a:spAutoFit/>
        </a:bodyPr>
        <a:lstStyle/>
        <a:p>
          <a:pPr algn="ctr"/>
          <a:r>
            <a:rPr lang="es-ES" sz="2800" b="1" cap="none" spc="0">
              <a:ln w="0"/>
              <a:solidFill>
                <a:schemeClr val="bg1">
                  <a:lumMod val="85000"/>
                </a:schemeClr>
              </a:solidFill>
              <a:effectLst>
                <a:reflection blurRad="6350" stA="53000" endA="300" endPos="35500" dir="5400000" sy="-90000" algn="bl" rotWithShape="0"/>
              </a:effectLst>
            </a:rPr>
            <a:t>TOTAL DE VIGENCIA</a:t>
          </a:r>
        </a:p>
      </xdr:txBody>
    </xdr:sp>
    <xdr:clientData/>
  </xdr:oneCellAnchor>
  <xdr:twoCellAnchor>
    <xdr:from>
      <xdr:col>16</xdr:col>
      <xdr:colOff>293370</xdr:colOff>
      <xdr:row>50</xdr:row>
      <xdr:rowOff>121920</xdr:rowOff>
    </xdr:from>
    <xdr:to>
      <xdr:col>22</xdr:col>
      <xdr:colOff>369570</xdr:colOff>
      <xdr:row>59</xdr:row>
      <xdr:rowOff>902970</xdr:rowOff>
    </xdr:to>
    <xdr:graphicFrame macro="">
      <xdr:nvGraphicFramePr>
        <xdr:cNvPr id="46" name="Gráfico 45">
          <a:extLst>
            <a:ext uri="{FF2B5EF4-FFF2-40B4-BE49-F238E27FC236}">
              <a16:creationId xmlns:a16="http://schemas.microsoft.com/office/drawing/2014/main" id="{F8E228D4-5C5F-43EE-8D06-9229F78304B5}"/>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oneCellAnchor>
    <xdr:from>
      <xdr:col>17</xdr:col>
      <xdr:colOff>375923</xdr:colOff>
      <xdr:row>47</xdr:row>
      <xdr:rowOff>144780</xdr:rowOff>
    </xdr:from>
    <xdr:ext cx="3170868" cy="530658"/>
    <xdr:sp macro="" textlink="">
      <xdr:nvSpPr>
        <xdr:cNvPr id="47" name="Rectángulo 46">
          <a:extLst>
            <a:ext uri="{FF2B5EF4-FFF2-40B4-BE49-F238E27FC236}">
              <a16:creationId xmlns:a16="http://schemas.microsoft.com/office/drawing/2014/main" id="{3B9B3FDA-AACF-4C2E-9378-0CE9F618A6D2}"/>
            </a:ext>
          </a:extLst>
        </xdr:cNvPr>
        <xdr:cNvSpPr/>
      </xdr:nvSpPr>
      <xdr:spPr>
        <a:xfrm>
          <a:off x="15189203" y="13068300"/>
          <a:ext cx="3170868" cy="530658"/>
        </a:xfrm>
        <a:prstGeom prst="rect">
          <a:avLst/>
        </a:prstGeom>
        <a:noFill/>
      </xdr:spPr>
      <xdr:txBody>
        <a:bodyPr wrap="none" lIns="91440" tIns="45720" rIns="91440" bIns="45720">
          <a:spAutoFit/>
        </a:bodyPr>
        <a:lstStyle/>
        <a:p>
          <a:pPr algn="ctr"/>
          <a:r>
            <a:rPr lang="es-ES" sz="2800" b="1" cap="none" spc="0">
              <a:ln w="0"/>
              <a:solidFill>
                <a:schemeClr val="bg1">
                  <a:lumMod val="85000"/>
                </a:schemeClr>
              </a:solidFill>
              <a:effectLst>
                <a:reflection blurRad="6350" stA="53000" endA="300" endPos="35500" dir="5400000" sy="-90000" algn="bl" rotWithShape="0"/>
              </a:effectLst>
            </a:rPr>
            <a:t>PLAN DE GOBIERNO</a:t>
          </a:r>
        </a:p>
      </xdr:txBody>
    </xdr:sp>
    <xdr:clientData/>
  </xdr:oneCellAnchor>
  <xdr:twoCellAnchor>
    <xdr:from>
      <xdr:col>16</xdr:col>
      <xdr:colOff>60960</xdr:colOff>
      <xdr:row>81</xdr:row>
      <xdr:rowOff>156210</xdr:rowOff>
    </xdr:from>
    <xdr:to>
      <xdr:col>22</xdr:col>
      <xdr:colOff>381000</xdr:colOff>
      <xdr:row>107</xdr:row>
      <xdr:rowOff>106680</xdr:rowOff>
    </xdr:to>
    <xdr:graphicFrame macro="">
      <xdr:nvGraphicFramePr>
        <xdr:cNvPr id="48" name="1 Gráfico">
          <a:extLst>
            <a:ext uri="{FF2B5EF4-FFF2-40B4-BE49-F238E27FC236}">
              <a16:creationId xmlns:a16="http://schemas.microsoft.com/office/drawing/2014/main" id="{09035519-8D65-4DEE-A13A-DA342486A3E9}"/>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16</xdr:col>
      <xdr:colOff>289560</xdr:colOff>
      <xdr:row>59</xdr:row>
      <xdr:rowOff>1264920</xdr:rowOff>
    </xdr:from>
    <xdr:to>
      <xdr:col>16</xdr:col>
      <xdr:colOff>548357</xdr:colOff>
      <xdr:row>59</xdr:row>
      <xdr:rowOff>1749164</xdr:rowOff>
    </xdr:to>
    <xdr:sp macro="" textlink="">
      <xdr:nvSpPr>
        <xdr:cNvPr id="49" name="Elipse 48">
          <a:extLst>
            <a:ext uri="{FF2B5EF4-FFF2-40B4-BE49-F238E27FC236}">
              <a16:creationId xmlns:a16="http://schemas.microsoft.com/office/drawing/2014/main" id="{442A1C3F-6C57-46A7-BFFB-2148884B1833}"/>
            </a:ext>
          </a:extLst>
        </xdr:cNvPr>
        <xdr:cNvSpPr/>
      </xdr:nvSpPr>
      <xdr:spPr>
        <a:xfrm>
          <a:off x="14310360" y="18524220"/>
          <a:ext cx="258797" cy="484244"/>
        </a:xfrm>
        <a:prstGeom prst="ellipse">
          <a:avLst/>
        </a:prstGeom>
        <a:solidFill>
          <a:schemeClr val="accent1"/>
        </a:solidFill>
        <a:scene3d>
          <a:camera prst="orthographicFront"/>
          <a:lightRig rig="threePt" dir="t"/>
        </a:scene3d>
        <a:sp3d>
          <a:bevel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19</xdr:col>
      <xdr:colOff>644692</xdr:colOff>
      <xdr:row>59</xdr:row>
      <xdr:rowOff>1264920</xdr:rowOff>
    </xdr:from>
    <xdr:to>
      <xdr:col>20</xdr:col>
      <xdr:colOff>109732</xdr:colOff>
      <xdr:row>59</xdr:row>
      <xdr:rowOff>1747885</xdr:rowOff>
    </xdr:to>
    <xdr:sp macro="" textlink="">
      <xdr:nvSpPr>
        <xdr:cNvPr id="50" name="Elipse 49">
          <a:extLst>
            <a:ext uri="{FF2B5EF4-FFF2-40B4-BE49-F238E27FC236}">
              <a16:creationId xmlns:a16="http://schemas.microsoft.com/office/drawing/2014/main" id="{1AD8A420-966C-4538-B294-97F2B977F846}"/>
            </a:ext>
          </a:extLst>
        </xdr:cNvPr>
        <xdr:cNvSpPr/>
      </xdr:nvSpPr>
      <xdr:spPr>
        <a:xfrm>
          <a:off x="17042932" y="18524220"/>
          <a:ext cx="257520" cy="482965"/>
        </a:xfrm>
        <a:prstGeom prst="ellipse">
          <a:avLst/>
        </a:prstGeom>
        <a:solidFill>
          <a:schemeClr val="accent2"/>
        </a:solidFill>
        <a:scene3d>
          <a:camera prst="orthographicFront"/>
          <a:lightRig rig="threePt" dir="t"/>
        </a:scene3d>
        <a:sp3d>
          <a:bevel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28</xdr:col>
      <xdr:colOff>152400</xdr:colOff>
      <xdr:row>28</xdr:row>
      <xdr:rowOff>482600</xdr:rowOff>
    </xdr:from>
    <xdr:to>
      <xdr:col>31</xdr:col>
      <xdr:colOff>2463800</xdr:colOff>
      <xdr:row>36</xdr:row>
      <xdr:rowOff>0</xdr:rowOff>
    </xdr:to>
    <xdr:graphicFrame macro="">
      <xdr:nvGraphicFramePr>
        <xdr:cNvPr id="51" name="Gráfico 50">
          <a:extLst>
            <a:ext uri="{FF2B5EF4-FFF2-40B4-BE49-F238E27FC236}">
              <a16:creationId xmlns:a16="http://schemas.microsoft.com/office/drawing/2014/main" id="{4DDC498B-D884-479E-B01D-589E1406AC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21</xdr:row>
      <xdr:rowOff>34432</xdr:rowOff>
    </xdr:from>
    <xdr:to>
      <xdr:col>8</xdr:col>
      <xdr:colOff>262608</xdr:colOff>
      <xdr:row>33</xdr:row>
      <xdr:rowOff>1181101</xdr:rowOff>
    </xdr:to>
    <xdr:graphicFrame macro="">
      <xdr:nvGraphicFramePr>
        <xdr:cNvPr id="52" name="Gráfico 51">
          <a:extLst>
            <a:ext uri="{FF2B5EF4-FFF2-40B4-BE49-F238E27FC236}">
              <a16:creationId xmlns:a16="http://schemas.microsoft.com/office/drawing/2014/main" id="{7B8E7213-F475-4C02-9E7C-62AB559091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23</xdr:col>
      <xdr:colOff>399697</xdr:colOff>
      <xdr:row>48</xdr:row>
      <xdr:rowOff>438150</xdr:rowOff>
    </xdr:from>
    <xdr:to>
      <xdr:col>27</xdr:col>
      <xdr:colOff>834736</xdr:colOff>
      <xdr:row>61</xdr:row>
      <xdr:rowOff>17</xdr:rowOff>
    </xdr:to>
    <xdr:pic>
      <xdr:nvPicPr>
        <xdr:cNvPr id="53" name="Imagen 52">
          <a:extLst>
            <a:ext uri="{FF2B5EF4-FFF2-40B4-BE49-F238E27FC236}">
              <a16:creationId xmlns:a16="http://schemas.microsoft.com/office/drawing/2014/main" id="{3CC4312C-3048-4A7A-A432-AA0892379F6A}"/>
            </a:ext>
          </a:extLst>
        </xdr:cNvPr>
        <xdr:cNvPicPr>
          <a:picLocks noChangeAspect="1"/>
        </xdr:cNvPicPr>
      </xdr:nvPicPr>
      <xdr:blipFill>
        <a:blip xmlns:r="http://schemas.openxmlformats.org/officeDocument/2006/relationships" r:embed="rId10"/>
        <a:stretch>
          <a:fillRect/>
        </a:stretch>
      </xdr:blipFill>
      <xdr:spPr>
        <a:xfrm>
          <a:off x="19967857" y="13544550"/>
          <a:ext cx="9548559" cy="7387607"/>
        </a:xfrm>
        <a:prstGeom prst="rect">
          <a:avLst/>
        </a:prstGeom>
      </xdr:spPr>
    </xdr:pic>
    <xdr:clientData/>
  </xdr:twoCellAnchor>
  <xdr:twoCellAnchor>
    <xdr:from>
      <xdr:col>23</xdr:col>
      <xdr:colOff>45720</xdr:colOff>
      <xdr:row>63</xdr:row>
      <xdr:rowOff>242569</xdr:rowOff>
    </xdr:from>
    <xdr:to>
      <xdr:col>25</xdr:col>
      <xdr:colOff>792480</xdr:colOff>
      <xdr:row>65</xdr:row>
      <xdr:rowOff>255270</xdr:rowOff>
    </xdr:to>
    <xdr:sp macro="" textlink="">
      <xdr:nvSpPr>
        <xdr:cNvPr id="54" name="Rectángulo redondeado 14">
          <a:extLst>
            <a:ext uri="{FF2B5EF4-FFF2-40B4-BE49-F238E27FC236}">
              <a16:creationId xmlns:a16="http://schemas.microsoft.com/office/drawing/2014/main" id="{1020C9D6-409F-440F-9A75-58C81C68BEB7}"/>
            </a:ext>
          </a:extLst>
        </xdr:cNvPr>
        <xdr:cNvSpPr>
          <a:spLocks noChangeAspect="1"/>
        </xdr:cNvSpPr>
      </xdr:nvSpPr>
      <xdr:spPr>
        <a:xfrm>
          <a:off x="19613880" y="21548089"/>
          <a:ext cx="6736080" cy="576581"/>
        </a:xfrm>
        <a:prstGeom prst="roundRect">
          <a:avLst/>
        </a:prstGeom>
        <a:solidFill>
          <a:srgbClr val="FFFF00"/>
        </a:solidFill>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marL="0" indent="0" algn="ctr"/>
          <a:r>
            <a:rPr lang="es-CO" sz="1500" b="1" cap="none" spc="50">
              <a:ln w="0"/>
              <a:solidFill>
                <a:sysClr val="windowText" lastClr="000000"/>
              </a:solidFill>
              <a:effectLst>
                <a:innerShdw blurRad="63500" dist="50800" dir="13500000">
                  <a:srgbClr val="000000">
                    <a:alpha val="50000"/>
                  </a:srgbClr>
                </a:innerShdw>
              </a:effectLst>
              <a:latin typeface="Century Gothic" panose="020B0502020202020204" pitchFamily="34" charset="0"/>
              <a:ea typeface="+mn-ea"/>
              <a:cs typeface="+mn-cs"/>
            </a:rPr>
            <a:t>ANALÍSIS DEL PERIODO:</a:t>
          </a:r>
        </a:p>
      </xdr:txBody>
    </xdr:sp>
    <xdr:clientData/>
  </xdr:twoCellAnchor>
  <xdr:twoCellAnchor>
    <xdr:from>
      <xdr:col>24</xdr:col>
      <xdr:colOff>4133850</xdr:colOff>
      <xdr:row>13</xdr:row>
      <xdr:rowOff>133350</xdr:rowOff>
    </xdr:from>
    <xdr:to>
      <xdr:col>24</xdr:col>
      <xdr:colOff>4385310</xdr:colOff>
      <xdr:row>39</xdr:row>
      <xdr:rowOff>133350</xdr:rowOff>
    </xdr:to>
    <xdr:sp macro="" textlink="">
      <xdr:nvSpPr>
        <xdr:cNvPr id="55" name="Rectángulo 54">
          <a:extLst>
            <a:ext uri="{FF2B5EF4-FFF2-40B4-BE49-F238E27FC236}">
              <a16:creationId xmlns:a16="http://schemas.microsoft.com/office/drawing/2014/main" id="{E219BC05-2112-4CD4-BEFD-F60364663F0F}"/>
            </a:ext>
          </a:extLst>
        </xdr:cNvPr>
        <xdr:cNvSpPr/>
      </xdr:nvSpPr>
      <xdr:spPr>
        <a:xfrm>
          <a:off x="24494490" y="2510790"/>
          <a:ext cx="251460" cy="9083040"/>
        </a:xfrm>
        <a:prstGeom prst="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28</xdr:col>
      <xdr:colOff>400050</xdr:colOff>
      <xdr:row>49</xdr:row>
      <xdr:rowOff>209550</xdr:rowOff>
    </xdr:from>
    <xdr:to>
      <xdr:col>29</xdr:col>
      <xdr:colOff>1333500</xdr:colOff>
      <xdr:row>52</xdr:row>
      <xdr:rowOff>941</xdr:rowOff>
    </xdr:to>
    <xdr:pic>
      <xdr:nvPicPr>
        <xdr:cNvPr id="56" name="Imagen 55">
          <a:extLst>
            <a:ext uri="{FF2B5EF4-FFF2-40B4-BE49-F238E27FC236}">
              <a16:creationId xmlns:a16="http://schemas.microsoft.com/office/drawing/2014/main" id="{14A9EAEC-5902-41B3-82E5-A15575909323}"/>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30681930" y="13834110"/>
          <a:ext cx="1695450" cy="7819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28</xdr:col>
      <xdr:colOff>419100</xdr:colOff>
      <xdr:row>53</xdr:row>
      <xdr:rowOff>0</xdr:rowOff>
    </xdr:from>
    <xdr:to>
      <xdr:col>29</xdr:col>
      <xdr:colOff>1409700</xdr:colOff>
      <xdr:row>55</xdr:row>
      <xdr:rowOff>190875</xdr:rowOff>
    </xdr:to>
    <xdr:pic>
      <xdr:nvPicPr>
        <xdr:cNvPr id="57" name="Imagen 56">
          <a:extLst>
            <a:ext uri="{FF2B5EF4-FFF2-40B4-BE49-F238E27FC236}">
              <a16:creationId xmlns:a16="http://schemas.microsoft.com/office/drawing/2014/main" id="{7FB41B6F-1875-4E54-9A78-0ACCA4E1C347}"/>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30700980" y="15072360"/>
          <a:ext cx="1752600" cy="7928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28</xdr:col>
      <xdr:colOff>438150</xdr:colOff>
      <xdr:row>57</xdr:row>
      <xdr:rowOff>19050</xdr:rowOff>
    </xdr:from>
    <xdr:to>
      <xdr:col>29</xdr:col>
      <xdr:colOff>1428750</xdr:colOff>
      <xdr:row>58</xdr:row>
      <xdr:rowOff>647700</xdr:rowOff>
    </xdr:to>
    <xdr:pic>
      <xdr:nvPicPr>
        <xdr:cNvPr id="58" name="Imagen 57">
          <a:extLst>
            <a:ext uri="{FF2B5EF4-FFF2-40B4-BE49-F238E27FC236}">
              <a16:creationId xmlns:a16="http://schemas.microsoft.com/office/drawing/2014/main" id="{F570D88A-69B5-43F7-86CB-2877CA567632}"/>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30720030" y="16371570"/>
          <a:ext cx="1752600" cy="857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28</xdr:col>
      <xdr:colOff>457200</xdr:colOff>
      <xdr:row>59</xdr:row>
      <xdr:rowOff>323849</xdr:rowOff>
    </xdr:from>
    <xdr:to>
      <xdr:col>29</xdr:col>
      <xdr:colOff>1428750</xdr:colOff>
      <xdr:row>59</xdr:row>
      <xdr:rowOff>1162050</xdr:rowOff>
    </xdr:to>
    <xdr:pic>
      <xdr:nvPicPr>
        <xdr:cNvPr id="59" name="Imagen 58">
          <a:extLst>
            <a:ext uri="{FF2B5EF4-FFF2-40B4-BE49-F238E27FC236}">
              <a16:creationId xmlns:a16="http://schemas.microsoft.com/office/drawing/2014/main" id="{CE809051-3998-4531-BB31-0BB5B02A4927}"/>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30739080" y="17583149"/>
          <a:ext cx="1733550" cy="8382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20</xdr:col>
      <xdr:colOff>182880</xdr:colOff>
      <xdr:row>59</xdr:row>
      <xdr:rowOff>1249680</xdr:rowOff>
    </xdr:from>
    <xdr:to>
      <xdr:col>22</xdr:col>
      <xdr:colOff>563880</xdr:colOff>
      <xdr:row>59</xdr:row>
      <xdr:rowOff>1691640</xdr:rowOff>
    </xdr:to>
    <xdr:sp macro="" textlink="">
      <xdr:nvSpPr>
        <xdr:cNvPr id="60" name="Rectángulo 59">
          <a:extLst>
            <a:ext uri="{FF2B5EF4-FFF2-40B4-BE49-F238E27FC236}">
              <a16:creationId xmlns:a16="http://schemas.microsoft.com/office/drawing/2014/main" id="{BA71B6B5-EB6C-49F6-9FD9-7FC3AFB7D24E}"/>
            </a:ext>
          </a:extLst>
        </xdr:cNvPr>
        <xdr:cNvSpPr/>
      </xdr:nvSpPr>
      <xdr:spPr>
        <a:xfrm>
          <a:off x="17373600" y="18508980"/>
          <a:ext cx="1965960" cy="441960"/>
        </a:xfrm>
        <a:prstGeom prst="rect">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2400" b="1">
              <a:solidFill>
                <a:srgbClr val="FFFF00"/>
              </a:solidFill>
            </a:rPr>
            <a:t>EJECUTADO</a:t>
          </a:r>
        </a:p>
      </xdr:txBody>
    </xdr:sp>
    <xdr:clientData/>
  </xdr:twoCellAnchor>
  <xdr:twoCellAnchor>
    <xdr:from>
      <xdr:col>16</xdr:col>
      <xdr:colOff>594360</xdr:colOff>
      <xdr:row>59</xdr:row>
      <xdr:rowOff>1234440</xdr:rowOff>
    </xdr:from>
    <xdr:to>
      <xdr:col>19</xdr:col>
      <xdr:colOff>502920</xdr:colOff>
      <xdr:row>59</xdr:row>
      <xdr:rowOff>1691640</xdr:rowOff>
    </xdr:to>
    <xdr:sp macro="" textlink="">
      <xdr:nvSpPr>
        <xdr:cNvPr id="61" name="Rectángulo 60">
          <a:extLst>
            <a:ext uri="{FF2B5EF4-FFF2-40B4-BE49-F238E27FC236}">
              <a16:creationId xmlns:a16="http://schemas.microsoft.com/office/drawing/2014/main" id="{28B8ECB0-D5D4-4D09-A833-5ABD5F4DAA06}"/>
            </a:ext>
          </a:extLst>
        </xdr:cNvPr>
        <xdr:cNvSpPr/>
      </xdr:nvSpPr>
      <xdr:spPr>
        <a:xfrm>
          <a:off x="14615160" y="18493740"/>
          <a:ext cx="2286000" cy="457200"/>
        </a:xfrm>
        <a:prstGeom prst="rect">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2400" b="1">
              <a:solidFill>
                <a:srgbClr val="FFFF00"/>
              </a:solidFill>
            </a:rPr>
            <a:t>PROGRAMADO</a:t>
          </a:r>
        </a:p>
      </xdr:txBody>
    </xdr:sp>
    <xdr:clientData/>
  </xdr:twoCellAnchor>
  <xdr:twoCellAnchor>
    <xdr:from>
      <xdr:col>18</xdr:col>
      <xdr:colOff>0</xdr:colOff>
      <xdr:row>108</xdr:row>
      <xdr:rowOff>228600</xdr:rowOff>
    </xdr:from>
    <xdr:to>
      <xdr:col>20</xdr:col>
      <xdr:colOff>701040</xdr:colOff>
      <xdr:row>110</xdr:row>
      <xdr:rowOff>137160</xdr:rowOff>
    </xdr:to>
    <xdr:sp macro="" textlink="">
      <xdr:nvSpPr>
        <xdr:cNvPr id="62" name="Rectángulo 61">
          <a:extLst>
            <a:ext uri="{FF2B5EF4-FFF2-40B4-BE49-F238E27FC236}">
              <a16:creationId xmlns:a16="http://schemas.microsoft.com/office/drawing/2014/main" id="{205E84B8-97D9-4BFA-BAB1-A2FF74986179}"/>
            </a:ext>
          </a:extLst>
        </xdr:cNvPr>
        <xdr:cNvSpPr/>
      </xdr:nvSpPr>
      <xdr:spPr>
        <a:xfrm>
          <a:off x="15605760" y="32705040"/>
          <a:ext cx="2286000" cy="441960"/>
        </a:xfrm>
        <a:prstGeom prst="rect">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2400" b="1">
              <a:solidFill>
                <a:srgbClr val="FFFF00"/>
              </a:solidFill>
            </a:rPr>
            <a:t>PROGRAMADO</a:t>
          </a:r>
        </a:p>
      </xdr:txBody>
    </xdr:sp>
    <xdr:clientData/>
  </xdr:twoCellAnchor>
  <xdr:twoCellAnchor>
    <xdr:from>
      <xdr:col>18</xdr:col>
      <xdr:colOff>30480</xdr:colOff>
      <xdr:row>110</xdr:row>
      <xdr:rowOff>137160</xdr:rowOff>
    </xdr:from>
    <xdr:to>
      <xdr:col>20</xdr:col>
      <xdr:colOff>411480</xdr:colOff>
      <xdr:row>112</xdr:row>
      <xdr:rowOff>30480</xdr:rowOff>
    </xdr:to>
    <xdr:sp macro="" textlink="">
      <xdr:nvSpPr>
        <xdr:cNvPr id="63" name="Rectángulo 62">
          <a:extLst>
            <a:ext uri="{FF2B5EF4-FFF2-40B4-BE49-F238E27FC236}">
              <a16:creationId xmlns:a16="http://schemas.microsoft.com/office/drawing/2014/main" id="{3C04F332-6C6B-4144-89A6-A12F508B3F58}"/>
            </a:ext>
          </a:extLst>
        </xdr:cNvPr>
        <xdr:cNvSpPr/>
      </xdr:nvSpPr>
      <xdr:spPr>
        <a:xfrm>
          <a:off x="15636240" y="33147000"/>
          <a:ext cx="1965960" cy="426720"/>
        </a:xfrm>
        <a:prstGeom prst="rect">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2400" b="1">
              <a:solidFill>
                <a:srgbClr val="FFFF00"/>
              </a:solidFill>
            </a:rPr>
            <a:t>EJECUTADO</a:t>
          </a:r>
        </a:p>
      </xdr:txBody>
    </xdr:sp>
    <xdr:clientData/>
  </xdr:twoCellAnchor>
  <xdr:twoCellAnchor>
    <xdr:from>
      <xdr:col>16</xdr:col>
      <xdr:colOff>701040</xdr:colOff>
      <xdr:row>108</xdr:row>
      <xdr:rowOff>198120</xdr:rowOff>
    </xdr:from>
    <xdr:to>
      <xdr:col>17</xdr:col>
      <xdr:colOff>228600</xdr:colOff>
      <xdr:row>109</xdr:row>
      <xdr:rowOff>259080</xdr:rowOff>
    </xdr:to>
    <xdr:sp macro="" textlink="">
      <xdr:nvSpPr>
        <xdr:cNvPr id="64" name="Elipse 63">
          <a:extLst>
            <a:ext uri="{FF2B5EF4-FFF2-40B4-BE49-F238E27FC236}">
              <a16:creationId xmlns:a16="http://schemas.microsoft.com/office/drawing/2014/main" id="{B41FBF89-D0CE-41A3-8931-FBAF6B472451}"/>
            </a:ext>
          </a:extLst>
        </xdr:cNvPr>
        <xdr:cNvSpPr/>
      </xdr:nvSpPr>
      <xdr:spPr>
        <a:xfrm>
          <a:off x="14721840" y="32674560"/>
          <a:ext cx="320040" cy="327660"/>
        </a:xfrm>
        <a:prstGeom prst="ellipse">
          <a:avLst/>
        </a:prstGeom>
        <a:solidFill>
          <a:schemeClr val="accent1"/>
        </a:solidFill>
        <a:scene3d>
          <a:camera prst="orthographicFront"/>
          <a:lightRig rig="threePt" dir="t"/>
        </a:scene3d>
        <a:sp3d>
          <a:bevel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16</xdr:col>
      <xdr:colOff>701040</xdr:colOff>
      <xdr:row>110</xdr:row>
      <xdr:rowOff>182881</xdr:rowOff>
    </xdr:from>
    <xdr:to>
      <xdr:col>17</xdr:col>
      <xdr:colOff>243840</xdr:colOff>
      <xdr:row>112</xdr:row>
      <xdr:rowOff>0</xdr:rowOff>
    </xdr:to>
    <xdr:sp macro="" textlink="">
      <xdr:nvSpPr>
        <xdr:cNvPr id="65" name="Elipse 64">
          <a:extLst>
            <a:ext uri="{FF2B5EF4-FFF2-40B4-BE49-F238E27FC236}">
              <a16:creationId xmlns:a16="http://schemas.microsoft.com/office/drawing/2014/main" id="{B620CAA3-E377-49DA-8BBB-A16963586E54}"/>
            </a:ext>
          </a:extLst>
        </xdr:cNvPr>
        <xdr:cNvSpPr/>
      </xdr:nvSpPr>
      <xdr:spPr>
        <a:xfrm>
          <a:off x="14721840" y="33192721"/>
          <a:ext cx="335280" cy="350519"/>
        </a:xfrm>
        <a:prstGeom prst="ellipse">
          <a:avLst/>
        </a:prstGeom>
        <a:solidFill>
          <a:schemeClr val="accent2"/>
        </a:solidFill>
        <a:scene3d>
          <a:camera prst="orthographicFront"/>
          <a:lightRig rig="threePt" dir="t"/>
        </a:scene3d>
        <a:sp3d>
          <a:bevel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CO" sz="1100"/>
        </a:p>
      </xdr:txBody>
    </xdr:sp>
    <xdr:clientData/>
  </xdr:twoCellAnchor>
  <xdr:oneCellAnchor>
    <xdr:from>
      <xdr:col>28</xdr:col>
      <xdr:colOff>323850</xdr:colOff>
      <xdr:row>49</xdr:row>
      <xdr:rowOff>201930</xdr:rowOff>
    </xdr:from>
    <xdr:ext cx="1921608" cy="796927"/>
    <xdr:sp macro="" textlink="'FORMULAS%'!A37">
      <xdr:nvSpPr>
        <xdr:cNvPr id="66" name="CuadroTexto 65">
          <a:extLst>
            <a:ext uri="{FF2B5EF4-FFF2-40B4-BE49-F238E27FC236}">
              <a16:creationId xmlns:a16="http://schemas.microsoft.com/office/drawing/2014/main" id="{1D7ED42D-0707-4B09-B8EF-CA657D0B85B5}"/>
            </a:ext>
          </a:extLst>
        </xdr:cNvPr>
        <xdr:cNvSpPr txBox="1"/>
      </xdr:nvSpPr>
      <xdr:spPr>
        <a:xfrm>
          <a:off x="30605730" y="1382649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2973FB16-DDFD-4F34-B7F5-818EED31B099}" type="TxLink">
            <a:rPr lang="en-US" sz="4400" b="1" i="0" u="none" strike="noStrike">
              <a:solidFill>
                <a:srgbClr val="FFFF00"/>
              </a:solidFill>
              <a:latin typeface="Calibri"/>
              <a:ea typeface="+mn-ea"/>
              <a:cs typeface="Calibri"/>
            </a:rPr>
            <a:pPr marL="0" indent="0" algn="ctr"/>
            <a:t>43%</a:t>
          </a:fld>
          <a:endParaRPr lang="es-CO" sz="19900" b="1" i="0" u="none" strike="noStrike">
            <a:solidFill>
              <a:srgbClr val="FFFF00"/>
            </a:solidFill>
            <a:latin typeface="Arial Narrow" panose="020B0606020202030204" pitchFamily="34" charset="0"/>
            <a:ea typeface="+mn-ea"/>
            <a:cs typeface="Calibri"/>
          </a:endParaRPr>
        </a:p>
      </xdr:txBody>
    </xdr:sp>
    <xdr:clientData/>
  </xdr:oneCellAnchor>
  <xdr:oneCellAnchor>
    <xdr:from>
      <xdr:col>28</xdr:col>
      <xdr:colOff>323850</xdr:colOff>
      <xdr:row>52</xdr:row>
      <xdr:rowOff>449580</xdr:rowOff>
    </xdr:from>
    <xdr:ext cx="1921608" cy="796927"/>
    <xdr:sp macro="" textlink="'FORMULAS%'!A38">
      <xdr:nvSpPr>
        <xdr:cNvPr id="67" name="CuadroTexto 66">
          <a:extLst>
            <a:ext uri="{FF2B5EF4-FFF2-40B4-BE49-F238E27FC236}">
              <a16:creationId xmlns:a16="http://schemas.microsoft.com/office/drawing/2014/main" id="{943A9FAC-8132-4B26-84C2-A3F7FBAEF20E}"/>
            </a:ext>
          </a:extLst>
        </xdr:cNvPr>
        <xdr:cNvSpPr txBox="1"/>
      </xdr:nvSpPr>
      <xdr:spPr>
        <a:xfrm>
          <a:off x="30605730" y="1506474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90E5E44C-4332-4748-B1F5-6256E4518B65}" type="TxLink">
            <a:rPr lang="en-US" sz="4400" b="1" i="0" u="none" strike="noStrike">
              <a:solidFill>
                <a:srgbClr val="FFFF00"/>
              </a:solidFill>
              <a:latin typeface="Calibri"/>
              <a:ea typeface="+mn-ea"/>
              <a:cs typeface="Calibri"/>
            </a:rPr>
            <a:pPr marL="0" indent="0" algn="ctr"/>
            <a:t>69%</a:t>
          </a:fld>
          <a:endParaRPr lang="es-CO" sz="148100" b="1" i="0" u="none" strike="noStrike">
            <a:solidFill>
              <a:srgbClr val="FFFF00"/>
            </a:solidFill>
            <a:latin typeface="Arial Narrow" panose="020B0606020202030204" pitchFamily="34" charset="0"/>
            <a:ea typeface="+mn-ea"/>
            <a:cs typeface="Calibri"/>
          </a:endParaRPr>
        </a:p>
      </xdr:txBody>
    </xdr:sp>
    <xdr:clientData/>
  </xdr:oneCellAnchor>
  <xdr:oneCellAnchor>
    <xdr:from>
      <xdr:col>28</xdr:col>
      <xdr:colOff>361950</xdr:colOff>
      <xdr:row>57</xdr:row>
      <xdr:rowOff>49530</xdr:rowOff>
    </xdr:from>
    <xdr:ext cx="1921608" cy="796927"/>
    <xdr:sp macro="" textlink="'FORMULAS%'!A39">
      <xdr:nvSpPr>
        <xdr:cNvPr id="68" name="CuadroTexto 67">
          <a:extLst>
            <a:ext uri="{FF2B5EF4-FFF2-40B4-BE49-F238E27FC236}">
              <a16:creationId xmlns:a16="http://schemas.microsoft.com/office/drawing/2014/main" id="{E23801C9-F4E3-4B01-A8C0-5C55F5AAE251}"/>
            </a:ext>
          </a:extLst>
        </xdr:cNvPr>
        <xdr:cNvSpPr txBox="1"/>
      </xdr:nvSpPr>
      <xdr:spPr>
        <a:xfrm>
          <a:off x="30643830" y="1640205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922CE0B8-7757-4AD4-A16F-FE8EB8E49334}" type="TxLink">
            <a:rPr lang="en-US" sz="4400" b="1" i="0" u="none" strike="noStrike">
              <a:solidFill>
                <a:srgbClr val="FFFF00"/>
              </a:solidFill>
              <a:latin typeface="Calibri"/>
              <a:ea typeface="+mn-ea"/>
              <a:cs typeface="Calibri"/>
            </a:rPr>
            <a:pPr marL="0" indent="0" algn="ctr"/>
            <a:t>46%</a:t>
          </a:fld>
          <a:endParaRPr lang="es-CO" sz="4400" b="1" i="0" u="none" strike="noStrike">
            <a:solidFill>
              <a:srgbClr val="FFFF00"/>
            </a:solidFill>
            <a:latin typeface="Arial Narrow" panose="020B0606020202030204" pitchFamily="34" charset="0"/>
            <a:ea typeface="+mn-ea"/>
            <a:cs typeface="Calibri"/>
          </a:endParaRPr>
        </a:p>
      </xdr:txBody>
    </xdr:sp>
    <xdr:clientData/>
  </xdr:oneCellAnchor>
  <xdr:oneCellAnchor>
    <xdr:from>
      <xdr:col>28</xdr:col>
      <xdr:colOff>381000</xdr:colOff>
      <xdr:row>59</xdr:row>
      <xdr:rowOff>373380</xdr:rowOff>
    </xdr:from>
    <xdr:ext cx="1921608" cy="796927"/>
    <xdr:sp macro="" textlink="'FORMULAS%'!A40">
      <xdr:nvSpPr>
        <xdr:cNvPr id="69" name="CuadroTexto 68">
          <a:extLst>
            <a:ext uri="{FF2B5EF4-FFF2-40B4-BE49-F238E27FC236}">
              <a16:creationId xmlns:a16="http://schemas.microsoft.com/office/drawing/2014/main" id="{1632641E-43B2-4D91-93F6-B6BDF9533165}"/>
            </a:ext>
          </a:extLst>
        </xdr:cNvPr>
        <xdr:cNvSpPr txBox="1"/>
      </xdr:nvSpPr>
      <xdr:spPr>
        <a:xfrm>
          <a:off x="30662880" y="1763268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E724B63C-CC8C-4273-BFC6-68F294AD0930}" type="TxLink">
            <a:rPr lang="en-US" sz="4400" b="1" i="0" u="none" strike="noStrike">
              <a:solidFill>
                <a:srgbClr val="FFFF00"/>
              </a:solidFill>
              <a:latin typeface="Calibri"/>
              <a:ea typeface="+mn-ea"/>
              <a:cs typeface="Calibri"/>
            </a:rPr>
            <a:pPr marL="0" indent="0" algn="ctr"/>
            <a:t>46%</a:t>
          </a:fld>
          <a:endParaRPr lang="es-CO" sz="4400" b="1" i="0" u="none" strike="noStrike">
            <a:solidFill>
              <a:srgbClr val="FFFF00"/>
            </a:solidFill>
            <a:latin typeface="Arial Narrow" panose="020B0606020202030204" pitchFamily="34" charset="0"/>
            <a:ea typeface="+mn-ea"/>
            <a:cs typeface="Calibri"/>
          </a:endParaRPr>
        </a:p>
      </xdr:txBody>
    </xdr:sp>
    <xdr:clientData/>
  </xdr:oneCellAnchor>
</xdr:wsDr>
</file>

<file path=xl/drawings/drawing14.xml><?xml version="1.0" encoding="utf-8"?>
<c:userShapes xmlns:c="http://schemas.openxmlformats.org/drawingml/2006/chart">
  <cdr:relSizeAnchor xmlns:cdr="http://schemas.openxmlformats.org/drawingml/2006/chartDrawing">
    <cdr:from>
      <cdr:x>0.40872</cdr:x>
      <cdr:y>0.44898</cdr:y>
    </cdr:from>
    <cdr:to>
      <cdr:x>0.624</cdr:x>
      <cdr:y>0.5455</cdr:y>
    </cdr:to>
    <cdr:sp macro="" textlink="'FORMULAS%'!$P$31">
      <cdr:nvSpPr>
        <cdr:cNvPr id="8" name="Retraso 4"/>
        <cdr:cNvSpPr/>
      </cdr:nvSpPr>
      <cdr:spPr>
        <a:xfrm xmlns:a="http://schemas.openxmlformats.org/drawingml/2006/main" rot="16200000">
          <a:off x="3510313" y="2012877"/>
          <a:ext cx="543766" cy="1576867"/>
        </a:xfrm>
        <a:prstGeom xmlns:a="http://schemas.openxmlformats.org/drawingml/2006/main" prst="flowChartDelay">
          <a:avLst/>
        </a:prstGeom>
        <a:gradFill xmlns:a="http://schemas.openxmlformats.org/drawingml/2006/main" flip="none" rotWithShape="1">
          <a:gsLst>
            <a:gs pos="44000">
              <a:schemeClr val="tx1"/>
            </a:gs>
            <a:gs pos="100000">
              <a:schemeClr val="accent1">
                <a:lumMod val="30000"/>
                <a:lumOff val="70000"/>
              </a:schemeClr>
            </a:gs>
          </a:gsLst>
          <a:lin ang="0" scaled="1"/>
          <a:tileRect/>
        </a:gra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vert="vert" anchor="ctr" anchorCtr="1"/>
        <a:lstStyle xmlns:a="http://schemas.openxmlformats.org/drawingml/2006/main"/>
        <a:p xmlns:a="http://schemas.openxmlformats.org/drawingml/2006/main">
          <a:fld id="{0D6F2AAE-2D9A-44C9-AED0-43B7308BA6CD}" type="TxLink">
            <a:rPr lang="en-US" sz="2800" b="1" i="0" u="none" strike="noStrike">
              <a:solidFill>
                <a:schemeClr val="bg1"/>
              </a:solidFill>
              <a:latin typeface="Calibri"/>
              <a:cs typeface="Calibri"/>
            </a:rPr>
            <a:pPr/>
            <a:t>90,8%</a:t>
          </a:fld>
          <a:endParaRPr lang="es-CO" sz="2800" b="1">
            <a:solidFill>
              <a:schemeClr val="bg1"/>
            </a:solidFill>
          </a:endParaRPr>
        </a:p>
      </cdr:txBody>
    </cdr:sp>
  </cdr:relSizeAnchor>
  <cdr:relSizeAnchor xmlns:cdr="http://schemas.openxmlformats.org/drawingml/2006/chartDrawing">
    <cdr:from>
      <cdr:x>0.366</cdr:x>
      <cdr:y>0.57047</cdr:y>
    </cdr:from>
    <cdr:to>
      <cdr:x>0.49963</cdr:x>
      <cdr:y>0.74305</cdr:y>
    </cdr:to>
    <cdr:sp macro="" textlink="">
      <cdr:nvSpPr>
        <cdr:cNvPr id="3" name="CuadroTexto 1">
          <a:extLst xmlns:a="http://schemas.openxmlformats.org/drawingml/2006/main">
            <a:ext uri="{FF2B5EF4-FFF2-40B4-BE49-F238E27FC236}">
              <a16:creationId xmlns:a16="http://schemas.microsoft.com/office/drawing/2014/main" id="{D4254660-9F94-4489-A3F3-1A5568C7F478}"/>
            </a:ext>
          </a:extLst>
        </cdr:cNvPr>
        <cdr:cNvSpPr txBox="1"/>
      </cdr:nvSpPr>
      <cdr:spPr>
        <a:xfrm xmlns:a="http://schemas.openxmlformats.org/drawingml/2006/main">
          <a:off x="2504440" y="3022600"/>
          <a:ext cx="914400" cy="9144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O" sz="1800" b="1">
              <a:solidFill>
                <a:schemeClr val="bg1"/>
              </a:solidFill>
              <a:latin typeface="Century Gothic" panose="020B0502020202020204" pitchFamily="34" charset="0"/>
            </a:rPr>
            <a:t>PLAN DE </a:t>
          </a:r>
          <a:r>
            <a:rPr lang="es-CO" sz="1800" b="1" baseline="0">
              <a:solidFill>
                <a:schemeClr val="bg1"/>
              </a:solidFill>
              <a:latin typeface="Century Gothic" panose="020B0502020202020204" pitchFamily="34" charset="0"/>
            </a:rPr>
            <a:t>GESTIÓN</a:t>
          </a:r>
          <a:endParaRPr lang="es-CO" sz="1100" b="1">
            <a:solidFill>
              <a:schemeClr val="bg1"/>
            </a:solidFill>
            <a:latin typeface="Century Gothic" panose="020B0502020202020204" pitchFamily="34" charset="0"/>
          </a:endParaRPr>
        </a:p>
      </cdr:txBody>
    </cdr:sp>
  </cdr:relSizeAnchor>
</c:userShapes>
</file>

<file path=xl/drawings/drawing15.xml><?xml version="1.0" encoding="utf-8"?>
<c:userShapes xmlns:c="http://schemas.openxmlformats.org/drawingml/2006/chart">
  <cdr:relSizeAnchor xmlns:cdr="http://schemas.openxmlformats.org/drawingml/2006/chartDrawing">
    <cdr:from>
      <cdr:x>0.40872</cdr:x>
      <cdr:y>0.44898</cdr:y>
    </cdr:from>
    <cdr:to>
      <cdr:x>0.624</cdr:x>
      <cdr:y>0.5455</cdr:y>
    </cdr:to>
    <cdr:sp macro="" textlink="'FORMULAS%'!$M$26">
      <cdr:nvSpPr>
        <cdr:cNvPr id="8" name="Retraso 4"/>
        <cdr:cNvSpPr/>
      </cdr:nvSpPr>
      <cdr:spPr>
        <a:xfrm xmlns:a="http://schemas.openxmlformats.org/drawingml/2006/main" rot="16200000">
          <a:off x="3510313" y="2012877"/>
          <a:ext cx="543766" cy="1576867"/>
        </a:xfrm>
        <a:prstGeom xmlns:a="http://schemas.openxmlformats.org/drawingml/2006/main" prst="flowChartDelay">
          <a:avLst/>
        </a:prstGeom>
        <a:gradFill xmlns:a="http://schemas.openxmlformats.org/drawingml/2006/main" flip="none" rotWithShape="1">
          <a:gsLst>
            <a:gs pos="44000">
              <a:schemeClr val="tx1"/>
            </a:gs>
            <a:gs pos="100000">
              <a:schemeClr val="accent1">
                <a:lumMod val="30000"/>
                <a:lumOff val="70000"/>
              </a:schemeClr>
            </a:gs>
          </a:gsLst>
          <a:lin ang="0" scaled="1"/>
          <a:tileRect/>
        </a:gra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vert="vert" anchor="ctr" anchorCtr="1"/>
        <a:lstStyle xmlns:a="http://schemas.openxmlformats.org/drawingml/2006/main"/>
        <a:p xmlns:a="http://schemas.openxmlformats.org/drawingml/2006/main">
          <a:fld id="{49D539B3-1F37-475C-ADB3-8275E69688CA}" type="TxLink">
            <a:rPr lang="en-US" sz="2800" b="1" i="0" u="none" strike="noStrike">
              <a:solidFill>
                <a:schemeClr val="bg1"/>
              </a:solidFill>
              <a:latin typeface="Calibri"/>
              <a:cs typeface="Calibri"/>
            </a:rPr>
            <a:pPr/>
            <a:t>98,3%</a:t>
          </a:fld>
          <a:endParaRPr lang="es-CO" sz="2800" b="1">
            <a:solidFill>
              <a:schemeClr val="bg1"/>
            </a:solidFill>
          </a:endParaRPr>
        </a:p>
      </cdr:txBody>
    </cdr:sp>
  </cdr:relSizeAnchor>
  <cdr:relSizeAnchor xmlns:cdr="http://schemas.openxmlformats.org/drawingml/2006/chartDrawing">
    <cdr:from>
      <cdr:x>0.36748</cdr:x>
      <cdr:y>0.57706</cdr:y>
    </cdr:from>
    <cdr:to>
      <cdr:x>0.50111</cdr:x>
      <cdr:y>0.78563</cdr:y>
    </cdr:to>
    <cdr:sp macro="" textlink="">
      <cdr:nvSpPr>
        <cdr:cNvPr id="2" name="CuadroTexto 1">
          <a:extLst xmlns:a="http://schemas.openxmlformats.org/drawingml/2006/main">
            <a:ext uri="{FF2B5EF4-FFF2-40B4-BE49-F238E27FC236}">
              <a16:creationId xmlns:a16="http://schemas.microsoft.com/office/drawing/2014/main" id="{951CB645-E799-4DC4-B960-13579BB5AF47}"/>
            </a:ext>
          </a:extLst>
        </cdr:cNvPr>
        <cdr:cNvSpPr txBox="1"/>
      </cdr:nvSpPr>
      <cdr:spPr>
        <a:xfrm xmlns:a="http://schemas.openxmlformats.org/drawingml/2006/main">
          <a:off x="2514600" y="252984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CO" sz="1800" b="1">
              <a:solidFill>
                <a:schemeClr val="bg1"/>
              </a:solidFill>
              <a:latin typeface="Century Gothic" panose="020B0502020202020204" pitchFamily="34" charset="0"/>
            </a:rPr>
            <a:t>PLAN DE ACCIÓN</a:t>
          </a:r>
          <a:endParaRPr lang="es-CO" sz="1100" b="1">
            <a:solidFill>
              <a:schemeClr val="bg1"/>
            </a:solidFill>
            <a:latin typeface="Century Gothic" panose="020B0502020202020204" pitchFamily="34" charset="0"/>
          </a:endParaRPr>
        </a:p>
      </cdr:txBody>
    </cdr:sp>
  </cdr:relSizeAnchor>
</c:userShapes>
</file>

<file path=xl/drawings/drawing16.xml><?xml version="1.0" encoding="utf-8"?>
<c:userShapes xmlns:c="http://schemas.openxmlformats.org/drawingml/2006/chart">
  <cdr:relSizeAnchor xmlns:cdr="http://schemas.openxmlformats.org/drawingml/2006/chartDrawing">
    <cdr:from>
      <cdr:x>0.40872</cdr:x>
      <cdr:y>0.44898</cdr:y>
    </cdr:from>
    <cdr:to>
      <cdr:x>0.624</cdr:x>
      <cdr:y>0.5455</cdr:y>
    </cdr:to>
    <cdr:sp macro="" textlink="'FORMULAS%'!$M$25">
      <cdr:nvSpPr>
        <cdr:cNvPr id="8" name="Retraso 4"/>
        <cdr:cNvSpPr/>
      </cdr:nvSpPr>
      <cdr:spPr>
        <a:xfrm xmlns:a="http://schemas.openxmlformats.org/drawingml/2006/main" rot="16200000">
          <a:off x="3510313" y="2012877"/>
          <a:ext cx="543766" cy="1576867"/>
        </a:xfrm>
        <a:prstGeom xmlns:a="http://schemas.openxmlformats.org/drawingml/2006/main" prst="flowChartDelay">
          <a:avLst/>
        </a:prstGeom>
        <a:gradFill xmlns:a="http://schemas.openxmlformats.org/drawingml/2006/main" flip="none" rotWithShape="1">
          <a:gsLst>
            <a:gs pos="44000">
              <a:schemeClr val="tx1"/>
            </a:gs>
            <a:gs pos="100000">
              <a:schemeClr val="accent1">
                <a:lumMod val="30000"/>
                <a:lumOff val="70000"/>
              </a:schemeClr>
            </a:gs>
          </a:gsLst>
          <a:lin ang="0" scaled="1"/>
          <a:tileRect/>
        </a:gra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vert="vert" anchor="ctr" anchorCtr="1"/>
        <a:lstStyle xmlns:a="http://schemas.openxmlformats.org/drawingml/2006/main"/>
        <a:p xmlns:a="http://schemas.openxmlformats.org/drawingml/2006/main">
          <a:fld id="{81CB673D-850F-42DC-BC38-1E5AF7BFF91B}" type="TxLink">
            <a:rPr lang="en-US" sz="2800" b="1" i="0" u="none" strike="noStrike">
              <a:solidFill>
                <a:schemeClr val="bg1"/>
              </a:solidFill>
              <a:latin typeface="Calibri"/>
              <a:cs typeface="Calibri"/>
            </a:rPr>
            <a:pPr/>
            <a:t>99,4%</a:t>
          </a:fld>
          <a:endParaRPr lang="es-CO" sz="2800" b="1">
            <a:solidFill>
              <a:schemeClr val="bg1"/>
            </a:solidFill>
          </a:endParaRPr>
        </a:p>
      </cdr:txBody>
    </cdr:sp>
  </cdr:relSizeAnchor>
  <cdr:relSizeAnchor xmlns:cdr="http://schemas.openxmlformats.org/drawingml/2006/chartDrawing">
    <cdr:from>
      <cdr:x>0.38437</cdr:x>
      <cdr:y>0.56779</cdr:y>
    </cdr:from>
    <cdr:to>
      <cdr:x>0.49779</cdr:x>
      <cdr:y>0.77636</cdr:y>
    </cdr:to>
    <cdr:sp macro="" textlink="">
      <cdr:nvSpPr>
        <cdr:cNvPr id="3" name="CuadroTexto 1">
          <a:extLst xmlns:a="http://schemas.openxmlformats.org/drawingml/2006/main">
            <a:ext uri="{FF2B5EF4-FFF2-40B4-BE49-F238E27FC236}">
              <a16:creationId xmlns:a16="http://schemas.microsoft.com/office/drawing/2014/main" id="{D39F2321-1222-43CE-A0E0-19D27408332F}"/>
            </a:ext>
          </a:extLst>
        </cdr:cNvPr>
        <cdr:cNvSpPr txBox="1"/>
      </cdr:nvSpPr>
      <cdr:spPr>
        <a:xfrm xmlns:a="http://schemas.openxmlformats.org/drawingml/2006/main">
          <a:off x="3098800" y="2489200"/>
          <a:ext cx="914400" cy="9144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O" sz="1800" b="1">
              <a:solidFill>
                <a:schemeClr val="bg1"/>
              </a:solidFill>
              <a:latin typeface="Century Gothic" panose="020B0502020202020204" pitchFamily="34" charset="0"/>
            </a:rPr>
            <a:t>PLAN DE GESTIÓN</a:t>
          </a:r>
          <a:endParaRPr lang="es-CO" sz="1100" b="1">
            <a:solidFill>
              <a:schemeClr val="bg1"/>
            </a:solidFill>
            <a:latin typeface="Century Gothic" panose="020B0502020202020204" pitchFamily="34" charset="0"/>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0.01081</cdr:x>
      <cdr:y>0.13464</cdr:y>
    </cdr:from>
    <cdr:to>
      <cdr:x>0.05375</cdr:x>
      <cdr:y>0.77563</cdr:y>
    </cdr:to>
    <cdr:sp macro="" textlink="">
      <cdr:nvSpPr>
        <cdr:cNvPr id="2" name="CuadroTexto 1"/>
        <cdr:cNvSpPr txBox="1"/>
      </cdr:nvSpPr>
      <cdr:spPr>
        <a:xfrm xmlns:a="http://schemas.openxmlformats.org/drawingml/2006/main" rot="16200000">
          <a:off x="-735473" y="1162502"/>
          <a:ext cx="1783677" cy="207971"/>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r>
            <a:rPr lang="es-CO" sz="2400" b="1">
              <a:solidFill>
                <a:schemeClr val="tx1"/>
              </a:solidFill>
            </a:rPr>
            <a:t> PLAN DE GOBIERNO</a:t>
          </a:r>
        </a:p>
      </cdr:txBody>
    </cdr:sp>
  </cdr:relSizeAnchor>
</c:userShapes>
</file>

<file path=xl/drawings/drawing18.xml><?xml version="1.0" encoding="utf-8"?>
<c:userShapes xmlns:c="http://schemas.openxmlformats.org/drawingml/2006/chart">
  <cdr:relSizeAnchor xmlns:cdr="http://schemas.openxmlformats.org/drawingml/2006/chartDrawing">
    <cdr:from>
      <cdr:x>0.95922</cdr:x>
      <cdr:y>0.17698</cdr:y>
    </cdr:from>
    <cdr:to>
      <cdr:x>0.99808</cdr:x>
      <cdr:y>0.55403</cdr:y>
    </cdr:to>
    <cdr:sp macro="" textlink="">
      <cdr:nvSpPr>
        <cdr:cNvPr id="2" name="CuadroTexto 1"/>
        <cdr:cNvSpPr txBox="1"/>
      </cdr:nvSpPr>
      <cdr:spPr>
        <a:xfrm xmlns:a="http://schemas.openxmlformats.org/drawingml/2006/main" rot="16200000">
          <a:off x="4246315" y="873808"/>
          <a:ext cx="998583" cy="188407"/>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O" sz="1200" b="1">
              <a:solidFill>
                <a:schemeClr val="tx1"/>
              </a:solidFill>
            </a:rPr>
            <a:t>VIGENCIA</a:t>
          </a:r>
        </a:p>
      </cdr:txBody>
    </cdr:sp>
  </cdr:relSizeAnchor>
</c:userShapes>
</file>

<file path=xl/drawings/drawing19.xml><?xml version="1.0" encoding="utf-8"?>
<c:userShapes xmlns:c="http://schemas.openxmlformats.org/drawingml/2006/chart">
  <cdr:relSizeAnchor xmlns:cdr="http://schemas.openxmlformats.org/drawingml/2006/chartDrawing">
    <cdr:from>
      <cdr:x>0.40872</cdr:x>
      <cdr:y>0.44898</cdr:y>
    </cdr:from>
    <cdr:to>
      <cdr:x>0.624</cdr:x>
      <cdr:y>0.5455</cdr:y>
    </cdr:to>
    <cdr:sp macro="" textlink="'FORMULAS%'!$P$32">
      <cdr:nvSpPr>
        <cdr:cNvPr id="8" name="Retraso 4"/>
        <cdr:cNvSpPr/>
      </cdr:nvSpPr>
      <cdr:spPr>
        <a:xfrm xmlns:a="http://schemas.openxmlformats.org/drawingml/2006/main" rot="16200000">
          <a:off x="3510313" y="2012877"/>
          <a:ext cx="543766" cy="1576867"/>
        </a:xfrm>
        <a:prstGeom xmlns:a="http://schemas.openxmlformats.org/drawingml/2006/main" prst="flowChartDelay">
          <a:avLst/>
        </a:prstGeom>
        <a:gradFill xmlns:a="http://schemas.openxmlformats.org/drawingml/2006/main" flip="none" rotWithShape="1">
          <a:gsLst>
            <a:gs pos="44000">
              <a:schemeClr val="tx1"/>
            </a:gs>
            <a:gs pos="100000">
              <a:schemeClr val="accent1">
                <a:lumMod val="30000"/>
                <a:lumOff val="70000"/>
              </a:schemeClr>
            </a:gs>
          </a:gsLst>
          <a:lin ang="0" scaled="1"/>
          <a:tileRect/>
        </a:gra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vert="vert" anchor="ctr" anchorCtr="1"/>
        <a:lstStyle xmlns:a="http://schemas.openxmlformats.org/drawingml/2006/main"/>
        <a:p xmlns:a="http://schemas.openxmlformats.org/drawingml/2006/main">
          <a:fld id="{82EE98CB-0E96-4092-A02B-0E9AACEA2C80}" type="TxLink">
            <a:rPr lang="en-US" sz="2800" b="1" i="0" u="none" strike="noStrike">
              <a:solidFill>
                <a:schemeClr val="bg1"/>
              </a:solidFill>
              <a:latin typeface="Calibri"/>
              <a:cs typeface="Calibri"/>
            </a:rPr>
            <a:pPr/>
            <a:t>90,9%</a:t>
          </a:fld>
          <a:endParaRPr lang="es-CO" sz="2800" b="1">
            <a:solidFill>
              <a:schemeClr val="bg1"/>
            </a:solidFill>
          </a:endParaRPr>
        </a:p>
      </cdr:txBody>
    </cdr:sp>
  </cdr:relSizeAnchor>
  <cdr:relSizeAnchor xmlns:cdr="http://schemas.openxmlformats.org/drawingml/2006/chartDrawing">
    <cdr:from>
      <cdr:x>0.366</cdr:x>
      <cdr:y>0.57047</cdr:y>
    </cdr:from>
    <cdr:to>
      <cdr:x>0.49963</cdr:x>
      <cdr:y>0.74305</cdr:y>
    </cdr:to>
    <cdr:sp macro="" textlink="">
      <cdr:nvSpPr>
        <cdr:cNvPr id="3" name="CuadroTexto 1">
          <a:extLst xmlns:a="http://schemas.openxmlformats.org/drawingml/2006/main">
            <a:ext uri="{FF2B5EF4-FFF2-40B4-BE49-F238E27FC236}">
              <a16:creationId xmlns:a16="http://schemas.microsoft.com/office/drawing/2014/main" id="{D4254660-9F94-4489-A3F3-1A5568C7F478}"/>
            </a:ext>
          </a:extLst>
        </cdr:cNvPr>
        <cdr:cNvSpPr txBox="1"/>
      </cdr:nvSpPr>
      <cdr:spPr>
        <a:xfrm xmlns:a="http://schemas.openxmlformats.org/drawingml/2006/main">
          <a:off x="2504440" y="3022600"/>
          <a:ext cx="914400" cy="9144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O" sz="1800" b="1">
              <a:solidFill>
                <a:schemeClr val="bg1"/>
              </a:solidFill>
              <a:latin typeface="Century Gothic" panose="020B0502020202020204" pitchFamily="34" charset="0"/>
            </a:rPr>
            <a:t>PLAN DE  ACCIÓN</a:t>
          </a:r>
          <a:endParaRPr lang="es-CO" sz="1100" b="1">
            <a:solidFill>
              <a:schemeClr val="bg1"/>
            </a:solidFill>
            <a:latin typeface="Century Gothic" panose="020B0502020202020204" pitchFamily="34"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0.01081</cdr:x>
      <cdr:y>0.13464</cdr:y>
    </cdr:from>
    <cdr:to>
      <cdr:x>0.05375</cdr:x>
      <cdr:y>0.77563</cdr:y>
    </cdr:to>
    <cdr:sp macro="" textlink="">
      <cdr:nvSpPr>
        <cdr:cNvPr id="2" name="CuadroTexto 1"/>
        <cdr:cNvSpPr txBox="1"/>
      </cdr:nvSpPr>
      <cdr:spPr>
        <a:xfrm xmlns:a="http://schemas.openxmlformats.org/drawingml/2006/main" rot="16200000">
          <a:off x="-735473" y="1162502"/>
          <a:ext cx="1783677" cy="207971"/>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r>
            <a:rPr lang="es-CO" sz="2400" b="1">
              <a:solidFill>
                <a:schemeClr val="tx1"/>
              </a:solidFill>
            </a:rPr>
            <a:t> PLAN DE GOBIERNO</a:t>
          </a:r>
        </a:p>
      </cdr:txBody>
    </cdr:sp>
  </cdr:relSizeAnchor>
</c:userShapes>
</file>

<file path=xl/drawings/drawing20.xml><?xml version="1.0" encoding="utf-8"?>
<xdr:wsDr xmlns:xdr="http://schemas.openxmlformats.org/drawingml/2006/spreadsheetDrawing" xmlns:a="http://schemas.openxmlformats.org/drawingml/2006/main">
  <xdr:twoCellAnchor>
    <xdr:from>
      <xdr:col>10</xdr:col>
      <xdr:colOff>662214</xdr:colOff>
      <xdr:row>42</xdr:row>
      <xdr:rowOff>45358</xdr:rowOff>
    </xdr:from>
    <xdr:to>
      <xdr:col>19</xdr:col>
      <xdr:colOff>134338</xdr:colOff>
      <xdr:row>55</xdr:row>
      <xdr:rowOff>86320</xdr:rowOff>
    </xdr:to>
    <xdr:graphicFrame macro="">
      <xdr:nvGraphicFramePr>
        <xdr:cNvPr id="4" name="Gráfico 3">
          <a:extLst>
            <a:ext uri="{FF2B5EF4-FFF2-40B4-BE49-F238E27FC236}">
              <a16:creationId xmlns:a16="http://schemas.microsoft.com/office/drawing/2014/main" id="{E819A3E2-9F87-42E6-9858-D29B839725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0.40872</cdr:x>
      <cdr:y>0.44898</cdr:y>
    </cdr:from>
    <cdr:to>
      <cdr:x>0.624</cdr:x>
      <cdr:y>0.5455</cdr:y>
    </cdr:to>
    <cdr:sp macro="" textlink="'FORMULAS%'!$P$32">
      <cdr:nvSpPr>
        <cdr:cNvPr id="8" name="Retraso 4"/>
        <cdr:cNvSpPr/>
      </cdr:nvSpPr>
      <cdr:spPr>
        <a:xfrm xmlns:a="http://schemas.openxmlformats.org/drawingml/2006/main" rot="16200000">
          <a:off x="3510313" y="2012877"/>
          <a:ext cx="543766" cy="1576867"/>
        </a:xfrm>
        <a:prstGeom xmlns:a="http://schemas.openxmlformats.org/drawingml/2006/main" prst="flowChartDelay">
          <a:avLst/>
        </a:prstGeom>
        <a:gradFill xmlns:a="http://schemas.openxmlformats.org/drawingml/2006/main" flip="none" rotWithShape="1">
          <a:gsLst>
            <a:gs pos="44000">
              <a:schemeClr val="tx1"/>
            </a:gs>
            <a:gs pos="100000">
              <a:schemeClr val="accent1">
                <a:lumMod val="30000"/>
                <a:lumOff val="70000"/>
              </a:schemeClr>
            </a:gs>
          </a:gsLst>
          <a:lin ang="0" scaled="1"/>
          <a:tileRect/>
        </a:gra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vert="vert" anchor="ctr" anchorCtr="1"/>
        <a:lstStyle xmlns:a="http://schemas.openxmlformats.org/drawingml/2006/main"/>
        <a:p xmlns:a="http://schemas.openxmlformats.org/drawingml/2006/main">
          <a:fld id="{82EE98CB-0E96-4092-A02B-0E9AACEA2C80}" type="TxLink">
            <a:rPr lang="en-US" sz="2800" b="1" i="0" u="none" strike="noStrike">
              <a:solidFill>
                <a:schemeClr val="bg1"/>
              </a:solidFill>
              <a:latin typeface="Calibri"/>
              <a:cs typeface="Calibri"/>
            </a:rPr>
            <a:pPr/>
            <a:t>90,9%</a:t>
          </a:fld>
          <a:endParaRPr lang="es-CO" sz="2800" b="1">
            <a:solidFill>
              <a:schemeClr val="bg1"/>
            </a:solidFill>
          </a:endParaRPr>
        </a:p>
      </cdr:txBody>
    </cdr:sp>
  </cdr:relSizeAnchor>
  <cdr:relSizeAnchor xmlns:cdr="http://schemas.openxmlformats.org/drawingml/2006/chartDrawing">
    <cdr:from>
      <cdr:x>0.366</cdr:x>
      <cdr:y>0.57047</cdr:y>
    </cdr:from>
    <cdr:to>
      <cdr:x>0.49963</cdr:x>
      <cdr:y>0.74305</cdr:y>
    </cdr:to>
    <cdr:sp macro="" textlink="">
      <cdr:nvSpPr>
        <cdr:cNvPr id="3" name="CuadroTexto 1">
          <a:extLst xmlns:a="http://schemas.openxmlformats.org/drawingml/2006/main">
            <a:ext uri="{FF2B5EF4-FFF2-40B4-BE49-F238E27FC236}">
              <a16:creationId xmlns:a16="http://schemas.microsoft.com/office/drawing/2014/main" id="{D4254660-9F94-4489-A3F3-1A5568C7F478}"/>
            </a:ext>
          </a:extLst>
        </cdr:cNvPr>
        <cdr:cNvSpPr txBox="1"/>
      </cdr:nvSpPr>
      <cdr:spPr>
        <a:xfrm xmlns:a="http://schemas.openxmlformats.org/drawingml/2006/main">
          <a:off x="2504440" y="3022600"/>
          <a:ext cx="914400" cy="9144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O" sz="1800" b="1">
              <a:solidFill>
                <a:schemeClr val="bg1"/>
              </a:solidFill>
              <a:latin typeface="Century Gothic" panose="020B0502020202020204" pitchFamily="34" charset="0"/>
            </a:rPr>
            <a:t>PLAN DE  ACCIÓN</a:t>
          </a:r>
          <a:endParaRPr lang="es-CO" sz="1100" b="1">
            <a:solidFill>
              <a:schemeClr val="bg1"/>
            </a:solidFill>
            <a:latin typeface="Century Gothic" panose="020B050202020202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0.95922</cdr:x>
      <cdr:y>0.17698</cdr:y>
    </cdr:from>
    <cdr:to>
      <cdr:x>0.99808</cdr:x>
      <cdr:y>0.55403</cdr:y>
    </cdr:to>
    <cdr:sp macro="" textlink="">
      <cdr:nvSpPr>
        <cdr:cNvPr id="2" name="CuadroTexto 1"/>
        <cdr:cNvSpPr txBox="1"/>
      </cdr:nvSpPr>
      <cdr:spPr>
        <a:xfrm xmlns:a="http://schemas.openxmlformats.org/drawingml/2006/main" rot="16200000">
          <a:off x="4246315" y="873808"/>
          <a:ext cx="998583" cy="188407"/>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O" sz="1200" b="1">
              <a:solidFill>
                <a:schemeClr val="tx1"/>
              </a:solidFill>
            </a:rPr>
            <a:t>VIGENCIA</a:t>
          </a:r>
        </a:p>
      </cdr:txBody>
    </cdr:sp>
  </cdr:relSizeAnchor>
</c:userShapes>
</file>

<file path=xl/drawings/drawing4.xml><?xml version="1.0" encoding="utf-8"?>
<c:userShapes xmlns:c="http://schemas.openxmlformats.org/drawingml/2006/chart">
  <cdr:relSizeAnchor xmlns:cdr="http://schemas.openxmlformats.org/drawingml/2006/chartDrawing">
    <cdr:from>
      <cdr:x>0.40872</cdr:x>
      <cdr:y>0.44898</cdr:y>
    </cdr:from>
    <cdr:to>
      <cdr:x>0.624</cdr:x>
      <cdr:y>0.5455</cdr:y>
    </cdr:to>
    <cdr:sp macro="" textlink="'FORMULAS%'!$P$32">
      <cdr:nvSpPr>
        <cdr:cNvPr id="8" name="Retraso 4"/>
        <cdr:cNvSpPr/>
      </cdr:nvSpPr>
      <cdr:spPr>
        <a:xfrm xmlns:a="http://schemas.openxmlformats.org/drawingml/2006/main" rot="16200000">
          <a:off x="3510313" y="2012877"/>
          <a:ext cx="543766" cy="1576867"/>
        </a:xfrm>
        <a:prstGeom xmlns:a="http://schemas.openxmlformats.org/drawingml/2006/main" prst="flowChartDelay">
          <a:avLst/>
        </a:prstGeom>
        <a:gradFill xmlns:a="http://schemas.openxmlformats.org/drawingml/2006/main" flip="none" rotWithShape="1">
          <a:gsLst>
            <a:gs pos="44000">
              <a:schemeClr val="tx1"/>
            </a:gs>
            <a:gs pos="100000">
              <a:schemeClr val="accent1">
                <a:lumMod val="30000"/>
                <a:lumOff val="70000"/>
              </a:schemeClr>
            </a:gs>
          </a:gsLst>
          <a:lin ang="0" scaled="1"/>
          <a:tileRect/>
        </a:gra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vert="vert" anchor="ctr" anchorCtr="1"/>
        <a:lstStyle xmlns:a="http://schemas.openxmlformats.org/drawingml/2006/main"/>
        <a:p xmlns:a="http://schemas.openxmlformats.org/drawingml/2006/main">
          <a:fld id="{F5B2AFBB-335F-4A55-8A81-E952860CE316}" type="TxLink">
            <a:rPr lang="en-US" sz="2800" b="1" i="0" u="none" strike="noStrike">
              <a:solidFill>
                <a:schemeClr val="bg1"/>
              </a:solidFill>
              <a:latin typeface="Calibri"/>
              <a:cs typeface="Calibri"/>
            </a:rPr>
            <a:pPr/>
            <a:t>90,9%</a:t>
          </a:fld>
          <a:endParaRPr lang="es-CO" sz="6000" b="1">
            <a:solidFill>
              <a:schemeClr val="bg1"/>
            </a:solidFill>
          </a:endParaRPr>
        </a:p>
      </cdr:txBody>
    </cdr:sp>
  </cdr:relSizeAnchor>
  <cdr:relSizeAnchor xmlns:cdr="http://schemas.openxmlformats.org/drawingml/2006/chartDrawing">
    <cdr:from>
      <cdr:x>0.39609</cdr:x>
      <cdr:y>0.56781</cdr:y>
    </cdr:from>
    <cdr:to>
      <cdr:x>0.52972</cdr:x>
      <cdr:y>0.74039</cdr:y>
    </cdr:to>
    <cdr:sp macro="" textlink="">
      <cdr:nvSpPr>
        <cdr:cNvPr id="3" name="CuadroTexto 1">
          <a:extLst xmlns:a="http://schemas.openxmlformats.org/drawingml/2006/main">
            <a:ext uri="{FF2B5EF4-FFF2-40B4-BE49-F238E27FC236}">
              <a16:creationId xmlns:a16="http://schemas.microsoft.com/office/drawing/2014/main" id="{D4254660-9F94-4489-A3F3-1A5568C7F478}"/>
            </a:ext>
          </a:extLst>
        </cdr:cNvPr>
        <cdr:cNvSpPr txBox="1"/>
      </cdr:nvSpPr>
      <cdr:spPr>
        <a:xfrm xmlns:a="http://schemas.openxmlformats.org/drawingml/2006/main">
          <a:off x="3009050" y="3041606"/>
          <a:ext cx="1015168" cy="92446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O" sz="1800" b="1">
              <a:solidFill>
                <a:schemeClr val="tx1"/>
              </a:solidFill>
              <a:latin typeface="Century Gothic" panose="020B0502020202020204" pitchFamily="34" charset="0"/>
            </a:rPr>
            <a:t>PLAN DE ACCIÓN</a:t>
          </a:r>
          <a:endParaRPr lang="es-CO" sz="1100" b="1">
            <a:solidFill>
              <a:schemeClr val="tx1"/>
            </a:solidFill>
            <a:latin typeface="Century Gothic" panose="020B050202020202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0.40872</cdr:x>
      <cdr:y>0.44898</cdr:y>
    </cdr:from>
    <cdr:to>
      <cdr:x>0.624</cdr:x>
      <cdr:y>0.5455</cdr:y>
    </cdr:to>
    <cdr:sp macro="" textlink="'FORMULAS%'!$P$31">
      <cdr:nvSpPr>
        <cdr:cNvPr id="8" name="Retraso 4"/>
        <cdr:cNvSpPr/>
      </cdr:nvSpPr>
      <cdr:spPr>
        <a:xfrm xmlns:a="http://schemas.openxmlformats.org/drawingml/2006/main" rot="16200000">
          <a:off x="3510313" y="2012877"/>
          <a:ext cx="543766" cy="1576867"/>
        </a:xfrm>
        <a:prstGeom xmlns:a="http://schemas.openxmlformats.org/drawingml/2006/main" prst="flowChartDelay">
          <a:avLst/>
        </a:prstGeom>
        <a:gradFill xmlns:a="http://schemas.openxmlformats.org/drawingml/2006/main" flip="none" rotWithShape="1">
          <a:gsLst>
            <a:gs pos="44000">
              <a:schemeClr val="tx1"/>
            </a:gs>
            <a:gs pos="100000">
              <a:schemeClr val="accent1">
                <a:lumMod val="30000"/>
                <a:lumOff val="70000"/>
              </a:schemeClr>
            </a:gs>
          </a:gsLst>
          <a:lin ang="0" scaled="1"/>
          <a:tileRect/>
        </a:gra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vert="vert" anchor="ctr" anchorCtr="1"/>
        <a:lstStyle xmlns:a="http://schemas.openxmlformats.org/drawingml/2006/main"/>
        <a:p xmlns:a="http://schemas.openxmlformats.org/drawingml/2006/main">
          <a:fld id="{EC4D8A66-4B06-467A-8943-52D6908EE46E}" type="TxLink">
            <a:rPr lang="en-US" sz="2800" b="1" i="0" u="none" strike="noStrike">
              <a:solidFill>
                <a:schemeClr val="bg1"/>
              </a:solidFill>
              <a:latin typeface="Calibri"/>
              <a:cs typeface="Calibri"/>
            </a:rPr>
            <a:pPr/>
            <a:t>90,8%</a:t>
          </a:fld>
          <a:endParaRPr lang="es-CO" sz="2800" b="1">
            <a:solidFill>
              <a:schemeClr val="bg1"/>
            </a:solidFill>
          </a:endParaRPr>
        </a:p>
      </cdr:txBody>
    </cdr:sp>
  </cdr:relSizeAnchor>
  <cdr:relSizeAnchor xmlns:cdr="http://schemas.openxmlformats.org/drawingml/2006/chartDrawing">
    <cdr:from>
      <cdr:x>0.366</cdr:x>
      <cdr:y>0.57047</cdr:y>
    </cdr:from>
    <cdr:to>
      <cdr:x>0.49963</cdr:x>
      <cdr:y>0.74305</cdr:y>
    </cdr:to>
    <cdr:sp macro="" textlink="">
      <cdr:nvSpPr>
        <cdr:cNvPr id="3" name="CuadroTexto 1">
          <a:extLst xmlns:a="http://schemas.openxmlformats.org/drawingml/2006/main">
            <a:ext uri="{FF2B5EF4-FFF2-40B4-BE49-F238E27FC236}">
              <a16:creationId xmlns:a16="http://schemas.microsoft.com/office/drawing/2014/main" id="{D4254660-9F94-4489-A3F3-1A5568C7F478}"/>
            </a:ext>
          </a:extLst>
        </cdr:cNvPr>
        <cdr:cNvSpPr txBox="1"/>
      </cdr:nvSpPr>
      <cdr:spPr>
        <a:xfrm xmlns:a="http://schemas.openxmlformats.org/drawingml/2006/main">
          <a:off x="2504440" y="3022600"/>
          <a:ext cx="914400" cy="9144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O" sz="1800" b="1">
              <a:solidFill>
                <a:schemeClr val="tx1"/>
              </a:solidFill>
              <a:latin typeface="Century Gothic" panose="020B0502020202020204" pitchFamily="34" charset="0"/>
            </a:rPr>
            <a:t>PLAN DE </a:t>
          </a:r>
          <a:r>
            <a:rPr lang="es-CO" sz="1800" b="1" baseline="0">
              <a:solidFill>
                <a:schemeClr val="tx1"/>
              </a:solidFill>
              <a:latin typeface="Century Gothic" panose="020B0502020202020204" pitchFamily="34" charset="0"/>
            </a:rPr>
            <a:t>GESTIÓN</a:t>
          </a:r>
          <a:endParaRPr lang="es-CO" sz="1100" b="1">
            <a:solidFill>
              <a:schemeClr val="tx1"/>
            </a:solidFill>
            <a:latin typeface="Century Gothic" panose="020B0502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0.40872</cdr:x>
      <cdr:y>0.44898</cdr:y>
    </cdr:from>
    <cdr:to>
      <cdr:x>0.624</cdr:x>
      <cdr:y>0.5455</cdr:y>
    </cdr:to>
    <cdr:sp macro="" textlink="'FORMULAS%'!$N$25">
      <cdr:nvSpPr>
        <cdr:cNvPr id="8" name="Retraso 4"/>
        <cdr:cNvSpPr/>
      </cdr:nvSpPr>
      <cdr:spPr>
        <a:xfrm xmlns:a="http://schemas.openxmlformats.org/drawingml/2006/main" rot="16200000">
          <a:off x="3510313" y="2012877"/>
          <a:ext cx="543766" cy="1576867"/>
        </a:xfrm>
        <a:prstGeom xmlns:a="http://schemas.openxmlformats.org/drawingml/2006/main" prst="flowChartDelay">
          <a:avLst/>
        </a:prstGeom>
        <a:gradFill xmlns:a="http://schemas.openxmlformats.org/drawingml/2006/main" flip="none" rotWithShape="1">
          <a:gsLst>
            <a:gs pos="44000">
              <a:schemeClr val="tx1"/>
            </a:gs>
            <a:gs pos="100000">
              <a:schemeClr val="accent1">
                <a:lumMod val="30000"/>
                <a:lumOff val="70000"/>
              </a:schemeClr>
            </a:gs>
          </a:gsLst>
          <a:lin ang="0" scaled="1"/>
          <a:tileRect/>
        </a:gra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vert="vert" anchor="ctr" anchorCtr="1"/>
        <a:lstStyle xmlns:a="http://schemas.openxmlformats.org/drawingml/2006/main"/>
        <a:p xmlns:a="http://schemas.openxmlformats.org/drawingml/2006/main">
          <a:fld id="{36F4F0DA-6433-4FB8-8667-5CE3B89330F7}" type="TxLink">
            <a:rPr lang="en-US" sz="2800" b="1" i="0" u="none" strike="noStrike">
              <a:solidFill>
                <a:schemeClr val="bg1"/>
              </a:solidFill>
              <a:latin typeface="Calibri"/>
              <a:cs typeface="Calibri"/>
            </a:rPr>
            <a:pPr/>
            <a:t>93,6%</a:t>
          </a:fld>
          <a:endParaRPr lang="es-CO" sz="2800" b="1">
            <a:solidFill>
              <a:schemeClr val="bg1"/>
            </a:solidFill>
          </a:endParaRPr>
        </a:p>
      </cdr:txBody>
    </cdr:sp>
  </cdr:relSizeAnchor>
  <cdr:relSizeAnchor xmlns:cdr="http://schemas.openxmlformats.org/drawingml/2006/chartDrawing">
    <cdr:from>
      <cdr:x>0.38437</cdr:x>
      <cdr:y>0.56779</cdr:y>
    </cdr:from>
    <cdr:to>
      <cdr:x>0.49779</cdr:x>
      <cdr:y>0.77636</cdr:y>
    </cdr:to>
    <cdr:sp macro="" textlink="">
      <cdr:nvSpPr>
        <cdr:cNvPr id="3" name="CuadroTexto 1">
          <a:extLst xmlns:a="http://schemas.openxmlformats.org/drawingml/2006/main">
            <a:ext uri="{FF2B5EF4-FFF2-40B4-BE49-F238E27FC236}">
              <a16:creationId xmlns:a16="http://schemas.microsoft.com/office/drawing/2014/main" id="{D39F2321-1222-43CE-A0E0-19D27408332F}"/>
            </a:ext>
          </a:extLst>
        </cdr:cNvPr>
        <cdr:cNvSpPr txBox="1"/>
      </cdr:nvSpPr>
      <cdr:spPr>
        <a:xfrm xmlns:a="http://schemas.openxmlformats.org/drawingml/2006/main">
          <a:off x="3098800" y="2489200"/>
          <a:ext cx="914400" cy="9144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O" sz="1800" b="1">
              <a:solidFill>
                <a:schemeClr val="tx1"/>
              </a:solidFill>
              <a:latin typeface="Century Gothic" panose="020B0502020202020204" pitchFamily="34" charset="0"/>
            </a:rPr>
            <a:t>PLAN DE GESTIÓN</a:t>
          </a:r>
          <a:endParaRPr lang="es-CO" sz="1100" b="1">
            <a:solidFill>
              <a:schemeClr val="tx1"/>
            </a:solidFill>
            <a:latin typeface="Century Gothic" panose="020B050202020202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0.40872</cdr:x>
      <cdr:y>0.44898</cdr:y>
    </cdr:from>
    <cdr:to>
      <cdr:x>0.624</cdr:x>
      <cdr:y>0.5455</cdr:y>
    </cdr:to>
    <cdr:sp macro="" textlink="'FORMULAS%'!$N$26">
      <cdr:nvSpPr>
        <cdr:cNvPr id="8" name="Retraso 4"/>
        <cdr:cNvSpPr/>
      </cdr:nvSpPr>
      <cdr:spPr>
        <a:xfrm xmlns:a="http://schemas.openxmlformats.org/drawingml/2006/main" rot="16200000">
          <a:off x="3510313" y="2012877"/>
          <a:ext cx="543766" cy="1576867"/>
        </a:xfrm>
        <a:prstGeom xmlns:a="http://schemas.openxmlformats.org/drawingml/2006/main" prst="flowChartDelay">
          <a:avLst/>
        </a:prstGeom>
        <a:gradFill xmlns:a="http://schemas.openxmlformats.org/drawingml/2006/main" flip="none" rotWithShape="1">
          <a:gsLst>
            <a:gs pos="44000">
              <a:schemeClr val="tx1"/>
            </a:gs>
            <a:gs pos="100000">
              <a:schemeClr val="accent1">
                <a:lumMod val="30000"/>
                <a:lumOff val="70000"/>
              </a:schemeClr>
            </a:gs>
          </a:gsLst>
          <a:lin ang="0" scaled="1"/>
          <a:tileRect/>
        </a:gra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vert="vert" anchor="ctr" anchorCtr="1"/>
        <a:lstStyle xmlns:a="http://schemas.openxmlformats.org/drawingml/2006/main"/>
        <a:p xmlns:a="http://schemas.openxmlformats.org/drawingml/2006/main">
          <a:fld id="{8C8EC05E-406F-4292-A4AF-DB6C34304030}" type="TxLink">
            <a:rPr lang="en-US" sz="2800" b="1" i="0" u="none" strike="noStrike">
              <a:solidFill>
                <a:schemeClr val="bg1"/>
              </a:solidFill>
              <a:latin typeface="Calibri"/>
              <a:cs typeface="Calibri"/>
            </a:rPr>
            <a:pPr/>
            <a:t>95,7%</a:t>
          </a:fld>
          <a:endParaRPr lang="es-CO" sz="2800" b="1">
            <a:solidFill>
              <a:schemeClr val="bg1"/>
            </a:solidFill>
          </a:endParaRPr>
        </a:p>
      </cdr:txBody>
    </cdr:sp>
  </cdr:relSizeAnchor>
  <cdr:relSizeAnchor xmlns:cdr="http://schemas.openxmlformats.org/drawingml/2006/chartDrawing">
    <cdr:from>
      <cdr:x>0.36748</cdr:x>
      <cdr:y>0.57706</cdr:y>
    </cdr:from>
    <cdr:to>
      <cdr:x>0.50111</cdr:x>
      <cdr:y>0.78563</cdr:y>
    </cdr:to>
    <cdr:sp macro="" textlink="">
      <cdr:nvSpPr>
        <cdr:cNvPr id="2" name="CuadroTexto 1">
          <a:extLst xmlns:a="http://schemas.openxmlformats.org/drawingml/2006/main">
            <a:ext uri="{FF2B5EF4-FFF2-40B4-BE49-F238E27FC236}">
              <a16:creationId xmlns:a16="http://schemas.microsoft.com/office/drawing/2014/main" id="{951CB645-E799-4DC4-B960-13579BB5AF47}"/>
            </a:ext>
          </a:extLst>
        </cdr:cNvPr>
        <cdr:cNvSpPr txBox="1"/>
      </cdr:nvSpPr>
      <cdr:spPr>
        <a:xfrm xmlns:a="http://schemas.openxmlformats.org/drawingml/2006/main">
          <a:off x="2514600" y="252984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CO" sz="1800" b="1">
              <a:solidFill>
                <a:schemeClr val="tx1"/>
              </a:solidFill>
              <a:latin typeface="Century Gothic" panose="020B0502020202020204" pitchFamily="34" charset="0"/>
            </a:rPr>
            <a:t>PLAN DE ACCIÓN</a:t>
          </a:r>
          <a:endParaRPr lang="es-CO" sz="1100" b="1">
            <a:solidFill>
              <a:schemeClr val="tx1"/>
            </a:solidFill>
            <a:latin typeface="Century Gothic" panose="020B0502020202020204" pitchFamily="34" charset="0"/>
          </a:endParaRP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15240</xdr:colOff>
      <xdr:row>7</xdr:row>
      <xdr:rowOff>157555</xdr:rowOff>
    </xdr:from>
    <xdr:to>
      <xdr:col>13</xdr:col>
      <xdr:colOff>15240</xdr:colOff>
      <xdr:row>13</xdr:row>
      <xdr:rowOff>89130</xdr:rowOff>
    </xdr:to>
    <xdr:sp macro="" textlink="">
      <xdr:nvSpPr>
        <xdr:cNvPr id="2" name="Rectángulo 1">
          <a:extLst>
            <a:ext uri="{FF2B5EF4-FFF2-40B4-BE49-F238E27FC236}">
              <a16:creationId xmlns:a16="http://schemas.microsoft.com/office/drawing/2014/main" id="{4BDA2CF2-5017-4D20-AE1A-DF1720DF8B8B}"/>
            </a:ext>
          </a:extLst>
        </xdr:cNvPr>
        <xdr:cNvSpPr/>
      </xdr:nvSpPr>
      <xdr:spPr>
        <a:xfrm>
          <a:off x="15240" y="1437715"/>
          <a:ext cx="12100560" cy="1028855"/>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a:p>
      </xdr:txBody>
    </xdr:sp>
    <xdr:clientData/>
  </xdr:twoCellAnchor>
  <xdr:oneCellAnchor>
    <xdr:from>
      <xdr:col>12</xdr:col>
      <xdr:colOff>0</xdr:colOff>
      <xdr:row>1</xdr:row>
      <xdr:rowOff>2202</xdr:rowOff>
    </xdr:from>
    <xdr:ext cx="11689868" cy="1125501"/>
    <xdr:sp macro="" textlink="">
      <xdr:nvSpPr>
        <xdr:cNvPr id="3" name="Rectángulo 2">
          <a:extLst>
            <a:ext uri="{FF2B5EF4-FFF2-40B4-BE49-F238E27FC236}">
              <a16:creationId xmlns:a16="http://schemas.microsoft.com/office/drawing/2014/main" id="{3B8D20E6-DC70-4769-834E-889EFEC4A07C}"/>
            </a:ext>
          </a:extLst>
        </xdr:cNvPr>
        <xdr:cNvSpPr/>
      </xdr:nvSpPr>
      <xdr:spPr>
        <a:xfrm>
          <a:off x="10591800" y="192702"/>
          <a:ext cx="11689868" cy="1125501"/>
        </a:xfrm>
        <a:prstGeom prst="rect">
          <a:avLst/>
        </a:prstGeom>
        <a:noFill/>
      </xdr:spPr>
      <xdr:txBody>
        <a:bodyPr wrap="none" lIns="91440" tIns="45720" rIns="91440" bIns="45720">
          <a:spAutoFit/>
        </a:bodyPr>
        <a:lstStyle/>
        <a:p>
          <a:pPr algn="ctr"/>
          <a:r>
            <a:rPr lang="es-ES" sz="6600" b="1" cap="none" spc="0">
              <a:ln w="22225">
                <a:solidFill>
                  <a:schemeClr val="accent2"/>
                </a:solidFill>
                <a:prstDash val="solid"/>
              </a:ln>
              <a:solidFill>
                <a:srgbClr val="FFFF00"/>
              </a:solidFill>
              <a:effectLst/>
            </a:rPr>
            <a:t>SECRETARÍA JURÍDICA DISTRITAL</a:t>
          </a:r>
        </a:p>
      </xdr:txBody>
    </xdr:sp>
    <xdr:clientData/>
  </xdr:oneCellAnchor>
  <xdr:oneCellAnchor>
    <xdr:from>
      <xdr:col>27</xdr:col>
      <xdr:colOff>1320753</xdr:colOff>
      <xdr:row>20</xdr:row>
      <xdr:rowOff>9803</xdr:rowOff>
    </xdr:from>
    <xdr:ext cx="3495087" cy="677308"/>
    <xdr:sp macro="" textlink="" fLocksText="0">
      <xdr:nvSpPr>
        <xdr:cNvPr id="4" name="Rectángulo 3">
          <a:extLst>
            <a:ext uri="{FF2B5EF4-FFF2-40B4-BE49-F238E27FC236}">
              <a16:creationId xmlns:a16="http://schemas.microsoft.com/office/drawing/2014/main" id="{520B18C0-272C-402F-90D5-E5A94900316C}"/>
            </a:ext>
          </a:extLst>
        </xdr:cNvPr>
        <xdr:cNvSpPr/>
      </xdr:nvSpPr>
      <xdr:spPr>
        <a:xfrm>
          <a:off x="25933353" y="3819803"/>
          <a:ext cx="3495087" cy="677308"/>
        </a:xfrm>
        <a:prstGeom prst="rect">
          <a:avLst/>
        </a:prstGeom>
        <a:gradFill flip="none" rotWithShape="1">
          <a:gsLst>
            <a:gs pos="0">
              <a:schemeClr val="tx2">
                <a:lumMod val="75000"/>
                <a:shade val="30000"/>
                <a:satMod val="115000"/>
              </a:schemeClr>
            </a:gs>
            <a:gs pos="70000">
              <a:schemeClr val="tx2">
                <a:lumMod val="75000"/>
                <a:shade val="67500"/>
                <a:satMod val="115000"/>
              </a:schemeClr>
            </a:gs>
            <a:gs pos="94000">
              <a:schemeClr val="accent1">
                <a:lumMod val="50000"/>
              </a:schemeClr>
            </a:gs>
          </a:gsLst>
          <a:lin ang="5400000" scaled="1"/>
          <a:tileRect/>
        </a:gradFill>
        <a:ln>
          <a:noFill/>
        </a:ln>
        <a:effectLst>
          <a:innerShdw blurRad="114300">
            <a:schemeClr val="tx1"/>
          </a:innerShdw>
        </a:effectLst>
        <a:scene3d>
          <a:camera prst="orthographicFront"/>
          <a:lightRig rig="harsh" dir="t"/>
        </a:scene3d>
        <a:sp3d extrusionH="76200" contourW="12700">
          <a:bevelT/>
          <a:bevelB prst="relaxedInset"/>
          <a:extrusionClr>
            <a:schemeClr val="accent1">
              <a:lumMod val="40000"/>
              <a:lumOff val="60000"/>
            </a:schemeClr>
          </a:extrusionClr>
          <a:contourClr>
            <a:schemeClr val="accent1">
              <a:lumMod val="20000"/>
              <a:lumOff val="80000"/>
            </a:schemeClr>
          </a:contourClr>
        </a:sp3d>
      </xdr:spPr>
      <xdr:txBody>
        <a:bodyPr wrap="square" lIns="91440" tIns="45720" rIns="91440" bIns="45720">
          <a:noAutofit/>
        </a:bodyPr>
        <a:lstStyle/>
        <a:p>
          <a:pPr algn="ctr"/>
          <a:r>
            <a:rPr lang="es-ES" sz="2800" b="0" cap="none" spc="0">
              <a:ln w="0"/>
              <a:solidFill>
                <a:schemeClr val="bg1"/>
              </a:solidFill>
              <a:effectLst>
                <a:outerShdw blurRad="38100" dist="25400" dir="5400000" algn="ctr" rotWithShape="0">
                  <a:srgbClr val="6E747A">
                    <a:alpha val="43000"/>
                  </a:srgbClr>
                </a:outerShdw>
              </a:effectLst>
            </a:rPr>
            <a:t>POR INDICADOR</a:t>
          </a:r>
        </a:p>
      </xdr:txBody>
    </xdr:sp>
    <xdr:clientData/>
  </xdr:oneCellAnchor>
  <xdr:twoCellAnchor>
    <xdr:from>
      <xdr:col>1</xdr:col>
      <xdr:colOff>182150</xdr:colOff>
      <xdr:row>1</xdr:row>
      <xdr:rowOff>152796</xdr:rowOff>
    </xdr:from>
    <xdr:to>
      <xdr:col>2</xdr:col>
      <xdr:colOff>471744</xdr:colOff>
      <xdr:row>7</xdr:row>
      <xdr:rowOff>76200</xdr:rowOff>
    </xdr:to>
    <xdr:pic>
      <xdr:nvPicPr>
        <xdr:cNvPr id="5" name="Imagen 4">
          <a:extLst>
            <a:ext uri="{FF2B5EF4-FFF2-40B4-BE49-F238E27FC236}">
              <a16:creationId xmlns:a16="http://schemas.microsoft.com/office/drawing/2014/main" id="{519D7B17-8ECD-4863-807D-4B0F086BA09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4630" y="335676"/>
          <a:ext cx="1082074" cy="1020684"/>
        </a:xfrm>
        <a:prstGeom prst="roundRect">
          <a:avLst>
            <a:gd name="adj" fmla="val 4167"/>
          </a:avLst>
        </a:prstGeom>
        <a:solidFill>
          <a:srgbClr val="FFFFFF"/>
        </a:solidFill>
        <a:ln w="76200" cap="sq">
          <a:solidFill>
            <a:srgbClr val="EAEAEA"/>
          </a:solidFill>
          <a:miter lim="800000"/>
        </a:ln>
        <a:effectLst>
          <a:reflection blurRad="12700" stA="33000" endPos="28000" dist="5000" dir="5400000" sy="-100000" algn="bl" rotWithShape="0"/>
        </a:effectLst>
        <a:scene3d>
          <a:camera prst="orthographicFront"/>
          <a:lightRig rig="threePt" dir="t">
            <a:rot lat="0" lon="0" rev="2700000"/>
          </a:lightRig>
        </a:scene3d>
        <a:sp3d contourW="6350">
          <a:bevelT h="38100"/>
          <a:contourClr>
            <a:srgbClr val="C0C0C0"/>
          </a:contourClr>
        </a:sp3d>
      </xdr:spPr>
    </xdr:pic>
    <xdr:clientData/>
  </xdr:twoCellAnchor>
  <xdr:oneCellAnchor>
    <xdr:from>
      <xdr:col>27</xdr:col>
      <xdr:colOff>1423092</xdr:colOff>
      <xdr:row>14</xdr:row>
      <xdr:rowOff>36414</xdr:rowOff>
    </xdr:from>
    <xdr:ext cx="2998128" cy="781111"/>
    <xdr:sp macro="" textlink="">
      <xdr:nvSpPr>
        <xdr:cNvPr id="7" name="Rectángulo 6">
          <a:extLst>
            <a:ext uri="{FF2B5EF4-FFF2-40B4-BE49-F238E27FC236}">
              <a16:creationId xmlns:a16="http://schemas.microsoft.com/office/drawing/2014/main" id="{1D9EF625-C9C6-4522-AD6B-FFCA2916A627}"/>
            </a:ext>
          </a:extLst>
        </xdr:cNvPr>
        <xdr:cNvSpPr/>
      </xdr:nvSpPr>
      <xdr:spPr>
        <a:xfrm>
          <a:off x="26035692" y="2703414"/>
          <a:ext cx="2998128" cy="781111"/>
        </a:xfrm>
        <a:prstGeom prst="rect">
          <a:avLst/>
        </a:prstGeom>
        <a:noFill/>
      </xdr:spPr>
      <xdr:txBody>
        <a:bodyPr wrap="none" lIns="91440" tIns="45720" rIns="91440" bIns="45720">
          <a:spAutoFit/>
        </a:bodyPr>
        <a:lstStyle/>
        <a:p>
          <a:pPr algn="ctr"/>
          <a:r>
            <a:rPr lang="es-ES" sz="4400" b="1" cap="none" spc="0">
              <a:ln w="0"/>
              <a:solidFill>
                <a:schemeClr val="bg1">
                  <a:lumMod val="85000"/>
                </a:schemeClr>
              </a:solidFill>
              <a:effectLst>
                <a:reflection blurRad="6350" stA="53000" endA="300" endPos="35500" dir="5400000" sy="-90000" algn="bl" rotWithShape="0"/>
              </a:effectLst>
            </a:rPr>
            <a:t>CONSULTAS</a:t>
          </a:r>
        </a:p>
      </xdr:txBody>
    </xdr:sp>
    <xdr:clientData/>
  </xdr:oneCellAnchor>
  <xdr:oneCellAnchor>
    <xdr:from>
      <xdr:col>7</xdr:col>
      <xdr:colOff>309277</xdr:colOff>
      <xdr:row>19</xdr:row>
      <xdr:rowOff>113543</xdr:rowOff>
    </xdr:from>
    <xdr:ext cx="3461397" cy="405432"/>
    <xdr:sp macro="" textlink="">
      <xdr:nvSpPr>
        <xdr:cNvPr id="8" name="Rectángulo 7">
          <a:extLst>
            <a:ext uri="{FF2B5EF4-FFF2-40B4-BE49-F238E27FC236}">
              <a16:creationId xmlns:a16="http://schemas.microsoft.com/office/drawing/2014/main" id="{D7CB7F18-5D12-4B65-8871-1D3078F9AF4F}"/>
            </a:ext>
          </a:extLst>
        </xdr:cNvPr>
        <xdr:cNvSpPr/>
      </xdr:nvSpPr>
      <xdr:spPr>
        <a:xfrm>
          <a:off x="6862477" y="3588263"/>
          <a:ext cx="3461397" cy="405432"/>
        </a:xfrm>
        <a:prstGeom prst="rect">
          <a:avLst/>
        </a:prstGeom>
        <a:noFill/>
      </xdr:spPr>
      <xdr:txBody>
        <a:bodyPr wrap="none" lIns="91440" tIns="45720" rIns="91440" bIns="45720">
          <a:spAutoFit/>
        </a:bodyPr>
        <a:lstStyle/>
        <a:p>
          <a:pPr algn="ctr"/>
          <a:r>
            <a:rPr lang="es-ES" sz="2000" b="1" cap="none" spc="0">
              <a:ln w="0"/>
              <a:solidFill>
                <a:schemeClr val="bg1">
                  <a:lumMod val="85000"/>
                </a:schemeClr>
              </a:solidFill>
              <a:effectLst>
                <a:reflection blurRad="6350" stA="53000" endA="300" endPos="35500" dir="5400000" sy="-90000" algn="bl" rotWithShape="0"/>
              </a:effectLst>
            </a:rPr>
            <a:t>IMPERACTIVOS</a:t>
          </a:r>
          <a:r>
            <a:rPr lang="es-ES" sz="2000" b="1" cap="none" spc="0" baseline="0">
              <a:ln w="0"/>
              <a:solidFill>
                <a:schemeClr val="bg1">
                  <a:lumMod val="85000"/>
                </a:schemeClr>
              </a:solidFill>
              <a:effectLst>
                <a:reflection blurRad="6350" stA="53000" endA="300" endPos="35500" dir="5400000" sy="-90000" algn="bl" rotWithShape="0"/>
              </a:effectLst>
            </a:rPr>
            <a:t> ESTRATÉGICOS</a:t>
          </a:r>
          <a:endParaRPr lang="es-ES" sz="2000" b="1" cap="none" spc="0">
            <a:ln w="0"/>
            <a:solidFill>
              <a:schemeClr val="bg1">
                <a:lumMod val="85000"/>
              </a:schemeClr>
            </a:solidFill>
            <a:effectLst>
              <a:reflection blurRad="6350" stA="53000" endA="300" endPos="35500" dir="5400000" sy="-90000" algn="bl" rotWithShape="0"/>
            </a:effectLst>
          </a:endParaRPr>
        </a:p>
      </xdr:txBody>
    </xdr:sp>
    <xdr:clientData/>
  </xdr:oneCellAnchor>
  <xdr:oneCellAnchor>
    <xdr:from>
      <xdr:col>2</xdr:col>
      <xdr:colOff>787861</xdr:colOff>
      <xdr:row>14</xdr:row>
      <xdr:rowOff>88212</xdr:rowOff>
    </xdr:from>
    <xdr:ext cx="5551979" cy="582348"/>
    <xdr:sp macro="" textlink="" fLocksText="0">
      <xdr:nvSpPr>
        <xdr:cNvPr id="9" name="Rectángulo 8">
          <a:extLst>
            <a:ext uri="{FF2B5EF4-FFF2-40B4-BE49-F238E27FC236}">
              <a16:creationId xmlns:a16="http://schemas.microsoft.com/office/drawing/2014/main" id="{4C31353B-170F-4465-8330-8A5095AA338D}"/>
            </a:ext>
          </a:extLst>
        </xdr:cNvPr>
        <xdr:cNvSpPr/>
      </xdr:nvSpPr>
      <xdr:spPr>
        <a:xfrm>
          <a:off x="2372821" y="2648532"/>
          <a:ext cx="5551979" cy="582348"/>
        </a:xfrm>
        <a:prstGeom prst="rect">
          <a:avLst/>
        </a:prstGeom>
        <a:gradFill flip="none" rotWithShape="1">
          <a:gsLst>
            <a:gs pos="0">
              <a:schemeClr val="tx2">
                <a:lumMod val="75000"/>
                <a:shade val="30000"/>
                <a:satMod val="115000"/>
              </a:schemeClr>
            </a:gs>
            <a:gs pos="50000">
              <a:schemeClr val="tx2">
                <a:lumMod val="75000"/>
                <a:shade val="67500"/>
                <a:satMod val="115000"/>
              </a:schemeClr>
            </a:gs>
            <a:gs pos="100000">
              <a:schemeClr val="tx2">
                <a:lumMod val="75000"/>
                <a:shade val="100000"/>
                <a:satMod val="115000"/>
              </a:schemeClr>
            </a:gs>
          </a:gsLst>
          <a:lin ang="5400000" scaled="1"/>
          <a:tileRect/>
        </a:gradFill>
        <a:ln>
          <a:noFill/>
        </a:ln>
        <a:effectLst>
          <a:innerShdw blurRad="114300">
            <a:prstClr val="black"/>
          </a:innerShdw>
        </a:effectLst>
        <a:scene3d>
          <a:camera prst="orthographicFront"/>
          <a:lightRig rig="harsh" dir="t"/>
        </a:scene3d>
        <a:sp3d extrusionH="76200" contourW="12700">
          <a:bevelT/>
          <a:bevelB prst="relaxedInset"/>
          <a:extrusionClr>
            <a:schemeClr val="accent1">
              <a:lumMod val="40000"/>
              <a:lumOff val="60000"/>
            </a:schemeClr>
          </a:extrusionClr>
          <a:contourClr>
            <a:schemeClr val="accent1">
              <a:lumMod val="20000"/>
              <a:lumOff val="80000"/>
            </a:schemeClr>
          </a:contourClr>
        </a:sp3d>
      </xdr:spPr>
      <xdr:txBody>
        <a:bodyPr wrap="square" lIns="91440" tIns="45720" rIns="91440" bIns="45720">
          <a:noAutofit/>
        </a:bodyPr>
        <a:lstStyle/>
        <a:p>
          <a:pPr marL="0" indent="0" algn="ctr"/>
          <a:r>
            <a:rPr lang="es-ES" sz="2400" b="1" cap="none" spc="0">
              <a:ln w="0"/>
              <a:solidFill>
                <a:schemeClr val="bg1"/>
              </a:solidFill>
              <a:effectLst>
                <a:outerShdw blurRad="38100" dist="25400" dir="5400000" algn="ctr" rotWithShape="0">
                  <a:srgbClr val="6E747A">
                    <a:alpha val="43000"/>
                  </a:srgbClr>
                </a:outerShdw>
              </a:effectLst>
              <a:latin typeface="+mn-lt"/>
              <a:ea typeface="+mn-ea"/>
              <a:cs typeface="+mn-cs"/>
            </a:rPr>
            <a:t>DESEMPEÑO INSTITUCIONAL 2020</a:t>
          </a:r>
          <a:r>
            <a:rPr lang="es-ES" sz="2400" b="1" cap="none" spc="0" baseline="0">
              <a:ln w="0"/>
              <a:solidFill>
                <a:schemeClr val="bg1"/>
              </a:solidFill>
              <a:effectLst>
                <a:outerShdw blurRad="38100" dist="25400" dir="5400000" algn="ctr" rotWithShape="0">
                  <a:srgbClr val="6E747A">
                    <a:alpha val="43000"/>
                  </a:srgbClr>
                </a:outerShdw>
              </a:effectLst>
              <a:latin typeface="+mn-lt"/>
              <a:ea typeface="+mn-ea"/>
              <a:cs typeface="+mn-cs"/>
            </a:rPr>
            <a:t> -2024</a:t>
          </a:r>
          <a:endParaRPr lang="es-ES" sz="2400" b="1" cap="none" spc="0">
            <a:ln w="0"/>
            <a:solidFill>
              <a:schemeClr val="bg1"/>
            </a:solidFill>
            <a:effectLst>
              <a:outerShdw blurRad="38100" dist="25400" dir="5400000" algn="ctr" rotWithShape="0">
                <a:srgbClr val="6E747A">
                  <a:alpha val="43000"/>
                </a:srgbClr>
              </a:outerShdw>
            </a:effectLst>
            <a:latin typeface="+mn-lt"/>
            <a:ea typeface="+mn-ea"/>
            <a:cs typeface="+mn-cs"/>
          </a:endParaRPr>
        </a:p>
      </xdr:txBody>
    </xdr:sp>
    <xdr:clientData/>
  </xdr:oneCellAnchor>
  <xdr:oneCellAnchor>
    <xdr:from>
      <xdr:col>27</xdr:col>
      <xdr:colOff>1320338</xdr:colOff>
      <xdr:row>24</xdr:row>
      <xdr:rowOff>133610</xdr:rowOff>
    </xdr:from>
    <xdr:ext cx="3486150" cy="698475"/>
    <xdr:sp macro="" textlink="" fLocksText="0">
      <xdr:nvSpPr>
        <xdr:cNvPr id="10" name="Rectángulo 9">
          <a:extLst>
            <a:ext uri="{FF2B5EF4-FFF2-40B4-BE49-F238E27FC236}">
              <a16:creationId xmlns:a16="http://schemas.microsoft.com/office/drawing/2014/main" id="{3C0C29AD-FC1D-4689-B818-2179FEA3C4C9}"/>
            </a:ext>
          </a:extLst>
        </xdr:cNvPr>
        <xdr:cNvSpPr/>
      </xdr:nvSpPr>
      <xdr:spPr>
        <a:xfrm>
          <a:off x="25932938" y="4705610"/>
          <a:ext cx="3486150" cy="698475"/>
        </a:xfrm>
        <a:prstGeom prst="rect">
          <a:avLst/>
        </a:prstGeom>
        <a:gradFill flip="none" rotWithShape="1">
          <a:gsLst>
            <a:gs pos="0">
              <a:schemeClr val="tx2">
                <a:lumMod val="75000"/>
                <a:shade val="30000"/>
                <a:satMod val="115000"/>
              </a:schemeClr>
            </a:gs>
            <a:gs pos="70000">
              <a:schemeClr val="tx2">
                <a:lumMod val="75000"/>
                <a:shade val="67500"/>
                <a:satMod val="115000"/>
              </a:schemeClr>
            </a:gs>
            <a:gs pos="94000">
              <a:schemeClr val="accent1">
                <a:lumMod val="50000"/>
              </a:schemeClr>
            </a:gs>
          </a:gsLst>
          <a:lin ang="5400000" scaled="1"/>
          <a:tileRect/>
        </a:gradFill>
        <a:ln>
          <a:noFill/>
        </a:ln>
        <a:effectLst>
          <a:innerShdw blurRad="114300">
            <a:schemeClr val="tx1"/>
          </a:innerShdw>
        </a:effectLst>
        <a:scene3d>
          <a:camera prst="orthographicFront"/>
          <a:lightRig rig="harsh" dir="t"/>
        </a:scene3d>
        <a:sp3d extrusionH="76200" contourW="12700">
          <a:bevelT/>
          <a:bevelB prst="relaxedInset"/>
          <a:extrusionClr>
            <a:schemeClr val="accent1">
              <a:lumMod val="40000"/>
              <a:lumOff val="60000"/>
            </a:schemeClr>
          </a:extrusionClr>
          <a:contourClr>
            <a:schemeClr val="accent1">
              <a:lumMod val="20000"/>
              <a:lumOff val="80000"/>
            </a:schemeClr>
          </a:contourClr>
        </a:sp3d>
      </xdr:spPr>
      <xdr:txBody>
        <a:bodyPr wrap="square" lIns="91440" tIns="45720" rIns="91440" bIns="45720">
          <a:noAutofit/>
        </a:bodyPr>
        <a:lstStyle/>
        <a:p>
          <a:pPr marL="0" indent="0" algn="ctr"/>
          <a:r>
            <a:rPr lang="es-ES" sz="2800" b="0" cap="none" spc="0">
              <a:ln w="0"/>
              <a:solidFill>
                <a:schemeClr val="bg1"/>
              </a:solidFill>
              <a:effectLst>
                <a:outerShdw blurRad="38100" dist="25400" dir="5400000" algn="ctr" rotWithShape="0">
                  <a:srgbClr val="6E747A">
                    <a:alpha val="43000"/>
                  </a:srgbClr>
                </a:outerShdw>
              </a:effectLst>
              <a:latin typeface="+mn-lt"/>
              <a:ea typeface="+mn-ea"/>
              <a:cs typeface="+mn-cs"/>
            </a:rPr>
            <a:t>POR PROCESO</a:t>
          </a:r>
        </a:p>
      </xdr:txBody>
    </xdr:sp>
    <xdr:clientData/>
  </xdr:oneCellAnchor>
  <xdr:twoCellAnchor>
    <xdr:from>
      <xdr:col>13</xdr:col>
      <xdr:colOff>15240</xdr:colOff>
      <xdr:row>7</xdr:row>
      <xdr:rowOff>157555</xdr:rowOff>
    </xdr:from>
    <xdr:to>
      <xdr:col>31</xdr:col>
      <xdr:colOff>15240</xdr:colOff>
      <xdr:row>13</xdr:row>
      <xdr:rowOff>89130</xdr:rowOff>
    </xdr:to>
    <xdr:sp macro="" textlink="">
      <xdr:nvSpPr>
        <xdr:cNvPr id="11" name="Rectángulo 10">
          <a:extLst>
            <a:ext uri="{FF2B5EF4-FFF2-40B4-BE49-F238E27FC236}">
              <a16:creationId xmlns:a16="http://schemas.microsoft.com/office/drawing/2014/main" id="{573C1F50-4E3D-4321-9C28-39CCCEC23D05}"/>
            </a:ext>
          </a:extLst>
        </xdr:cNvPr>
        <xdr:cNvSpPr/>
      </xdr:nvSpPr>
      <xdr:spPr>
        <a:xfrm>
          <a:off x="12115800" y="1437715"/>
          <a:ext cx="14538960" cy="1028855"/>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a:p>
      </xdr:txBody>
    </xdr:sp>
    <xdr:clientData/>
  </xdr:twoCellAnchor>
  <xdr:oneCellAnchor>
    <xdr:from>
      <xdr:col>12</xdr:col>
      <xdr:colOff>716280</xdr:colOff>
      <xdr:row>7</xdr:row>
      <xdr:rowOff>163830</xdr:rowOff>
    </xdr:from>
    <xdr:ext cx="9563100" cy="937629"/>
    <xdr:sp macro="" textlink="">
      <xdr:nvSpPr>
        <xdr:cNvPr id="12" name="Rectángulo 11">
          <a:extLst>
            <a:ext uri="{FF2B5EF4-FFF2-40B4-BE49-F238E27FC236}">
              <a16:creationId xmlns:a16="http://schemas.microsoft.com/office/drawing/2014/main" id="{37467BCA-3FE1-4521-BE8C-CBE3157CC884}"/>
            </a:ext>
          </a:extLst>
        </xdr:cNvPr>
        <xdr:cNvSpPr/>
      </xdr:nvSpPr>
      <xdr:spPr>
        <a:xfrm>
          <a:off x="11308080" y="1497330"/>
          <a:ext cx="9563100" cy="937629"/>
        </a:xfrm>
        <a:prstGeom prst="rect">
          <a:avLst/>
        </a:prstGeom>
        <a:noFill/>
      </xdr:spPr>
      <xdr:txBody>
        <a:bodyPr wrap="square" lIns="91440" tIns="45720" rIns="91440" bIns="45720">
          <a:spAutoFit/>
        </a:bodyPr>
        <a:lstStyle/>
        <a:p>
          <a:pPr algn="ctr"/>
          <a:r>
            <a:rPr lang="es-ES" sz="5400" b="1" cap="none" spc="0">
              <a:ln w="0"/>
              <a:solidFill>
                <a:srgbClr val="FF0000"/>
              </a:solidFill>
              <a:effectLst>
                <a:reflection blurRad="6350" stA="53000" endA="300" endPos="35500" dir="5400000" sy="-90000" algn="bl" rotWithShape="0"/>
              </a:effectLst>
            </a:rPr>
            <a:t>SEGUIMIENTO A LA GESTIÓN</a:t>
          </a:r>
        </a:p>
      </xdr:txBody>
    </xdr:sp>
    <xdr:clientData/>
  </xdr:oneCellAnchor>
  <xdr:twoCellAnchor>
    <xdr:from>
      <xdr:col>7</xdr:col>
      <xdr:colOff>350520</xdr:colOff>
      <xdr:row>22</xdr:row>
      <xdr:rowOff>137160</xdr:rowOff>
    </xdr:from>
    <xdr:to>
      <xdr:col>11</xdr:col>
      <xdr:colOff>624840</xdr:colOff>
      <xdr:row>24</xdr:row>
      <xdr:rowOff>426720</xdr:rowOff>
    </xdr:to>
    <xdr:sp macro="" textlink="">
      <xdr:nvSpPr>
        <xdr:cNvPr id="13" name="Rectángulo redondeado 4">
          <a:extLst>
            <a:ext uri="{FF2B5EF4-FFF2-40B4-BE49-F238E27FC236}">
              <a16:creationId xmlns:a16="http://schemas.microsoft.com/office/drawing/2014/main" id="{9E6C2F65-8E03-4583-9529-70DD281D4647}"/>
            </a:ext>
          </a:extLst>
        </xdr:cNvPr>
        <xdr:cNvSpPr/>
      </xdr:nvSpPr>
      <xdr:spPr>
        <a:xfrm>
          <a:off x="6903720" y="4160520"/>
          <a:ext cx="3444240" cy="655320"/>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i="0" u="none" strike="noStrike">
              <a:solidFill>
                <a:schemeClr val="tx1"/>
              </a:solidFill>
              <a:effectLst/>
              <a:latin typeface="Franklin Gothic Book" panose="020B0503020102020204" pitchFamily="34" charset="0"/>
              <a:ea typeface="+mn-ea"/>
              <a:cs typeface="+mn-cs"/>
            </a:rPr>
            <a:t>MODERNIZACIÓN DE SISTEMAS DE INFORMACIÓN  </a:t>
          </a:r>
        </a:p>
      </xdr:txBody>
    </xdr:sp>
    <xdr:clientData/>
  </xdr:twoCellAnchor>
  <xdr:twoCellAnchor>
    <xdr:from>
      <xdr:col>7</xdr:col>
      <xdr:colOff>259080</xdr:colOff>
      <xdr:row>26</xdr:row>
      <xdr:rowOff>274321</xdr:rowOff>
    </xdr:from>
    <xdr:to>
      <xdr:col>11</xdr:col>
      <xdr:colOff>609600</xdr:colOff>
      <xdr:row>28</xdr:row>
      <xdr:rowOff>137161</xdr:rowOff>
    </xdr:to>
    <xdr:sp macro="" textlink="">
      <xdr:nvSpPr>
        <xdr:cNvPr id="14" name="Rectángulo redondeado 7">
          <a:extLst>
            <a:ext uri="{FF2B5EF4-FFF2-40B4-BE49-F238E27FC236}">
              <a16:creationId xmlns:a16="http://schemas.microsoft.com/office/drawing/2014/main" id="{36F1905B-B918-4E34-8884-0D239D4D2D3F}"/>
            </a:ext>
          </a:extLst>
        </xdr:cNvPr>
        <xdr:cNvSpPr/>
      </xdr:nvSpPr>
      <xdr:spPr>
        <a:xfrm>
          <a:off x="6812280" y="5760721"/>
          <a:ext cx="3520440" cy="594360"/>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softEdge rad="1270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OPTIMIZACIÓN DE PROCESOS</a:t>
          </a:r>
        </a:p>
      </xdr:txBody>
    </xdr:sp>
    <xdr:clientData/>
  </xdr:twoCellAnchor>
  <xdr:twoCellAnchor>
    <xdr:from>
      <xdr:col>7</xdr:col>
      <xdr:colOff>472440</xdr:colOff>
      <xdr:row>32</xdr:row>
      <xdr:rowOff>228601</xdr:rowOff>
    </xdr:from>
    <xdr:to>
      <xdr:col>11</xdr:col>
      <xdr:colOff>579120</xdr:colOff>
      <xdr:row>33</xdr:row>
      <xdr:rowOff>182880</xdr:rowOff>
    </xdr:to>
    <xdr:sp macro="" textlink="">
      <xdr:nvSpPr>
        <xdr:cNvPr id="15" name="Rectángulo redondeado 9">
          <a:extLst>
            <a:ext uri="{FF2B5EF4-FFF2-40B4-BE49-F238E27FC236}">
              <a16:creationId xmlns:a16="http://schemas.microsoft.com/office/drawing/2014/main" id="{70880B7F-C253-4337-8CC3-57DC6D533E49}"/>
            </a:ext>
          </a:extLst>
        </xdr:cNvPr>
        <xdr:cNvSpPr/>
      </xdr:nvSpPr>
      <xdr:spPr>
        <a:xfrm>
          <a:off x="7025640" y="7528561"/>
          <a:ext cx="3276600" cy="64007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softEdge rad="63500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POSICIONAMIENTO COMO ENTE RECTOR</a:t>
          </a:r>
        </a:p>
      </xdr:txBody>
    </xdr:sp>
    <xdr:clientData/>
  </xdr:twoCellAnchor>
  <xdr:twoCellAnchor>
    <xdr:from>
      <xdr:col>7</xdr:col>
      <xdr:colOff>472440</xdr:colOff>
      <xdr:row>33</xdr:row>
      <xdr:rowOff>1264921</xdr:rowOff>
    </xdr:from>
    <xdr:to>
      <xdr:col>11</xdr:col>
      <xdr:colOff>624840</xdr:colOff>
      <xdr:row>34</xdr:row>
      <xdr:rowOff>320040</xdr:rowOff>
    </xdr:to>
    <xdr:sp macro="" textlink="">
      <xdr:nvSpPr>
        <xdr:cNvPr id="16" name="Rectángulo redondeado 11">
          <a:extLst>
            <a:ext uri="{FF2B5EF4-FFF2-40B4-BE49-F238E27FC236}">
              <a16:creationId xmlns:a16="http://schemas.microsoft.com/office/drawing/2014/main" id="{95ED6B52-866D-4C9D-952B-74641E980693}"/>
            </a:ext>
          </a:extLst>
        </xdr:cNvPr>
        <xdr:cNvSpPr/>
      </xdr:nvSpPr>
      <xdr:spPr>
        <a:xfrm>
          <a:off x="7025640" y="9250681"/>
          <a:ext cx="3322320" cy="64007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 RESPALDO JURÍDICO QUE GENERA CONFIANZA. </a:t>
          </a:r>
        </a:p>
      </xdr:txBody>
    </xdr:sp>
    <xdr:clientData/>
  </xdr:twoCellAnchor>
  <xdr:oneCellAnchor>
    <xdr:from>
      <xdr:col>8</xdr:col>
      <xdr:colOff>609600</xdr:colOff>
      <xdr:row>24</xdr:row>
      <xdr:rowOff>472440</xdr:rowOff>
    </xdr:from>
    <xdr:ext cx="1863728" cy="796927"/>
    <xdr:sp macro="" textlink="[5]IMPERATIVOS!H96">
      <xdr:nvSpPr>
        <xdr:cNvPr id="17" name="CuadroTexto 16">
          <a:extLst>
            <a:ext uri="{FF2B5EF4-FFF2-40B4-BE49-F238E27FC236}">
              <a16:creationId xmlns:a16="http://schemas.microsoft.com/office/drawing/2014/main" id="{D6AC473E-B3DD-431E-A75A-A67099723AE7}"/>
            </a:ext>
          </a:extLst>
        </xdr:cNvPr>
        <xdr:cNvSpPr txBox="1"/>
      </xdr:nvSpPr>
      <xdr:spPr>
        <a:xfrm>
          <a:off x="7955280" y="4861560"/>
          <a:ext cx="186372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A2466EA4-6D59-42F4-89ED-08CA67729DBF}" type="TxLink">
            <a:rPr lang="en-US" sz="6000" b="1" i="0" u="none" strike="noStrike">
              <a:solidFill>
                <a:srgbClr val="FFFF00"/>
              </a:solidFill>
              <a:latin typeface="Arial Narrow" panose="020B0606020202030204" pitchFamily="34" charset="0"/>
              <a:ea typeface="+mn-ea"/>
              <a:cs typeface="Calibri"/>
            </a:rPr>
            <a:pPr marL="0" indent="0" algn="ctr"/>
            <a:t> </a:t>
          </a:fld>
          <a:endParaRPr lang="es-CO" sz="6000" b="1" i="0" u="none" strike="noStrike">
            <a:solidFill>
              <a:srgbClr val="FFFF00"/>
            </a:solidFill>
            <a:latin typeface="Arial Narrow" panose="020B0606020202030204" pitchFamily="34" charset="0"/>
            <a:ea typeface="+mn-ea"/>
            <a:cs typeface="Calibri"/>
          </a:endParaRPr>
        </a:p>
      </xdr:txBody>
    </xdr:sp>
    <xdr:clientData/>
  </xdr:oneCellAnchor>
  <xdr:oneCellAnchor>
    <xdr:from>
      <xdr:col>8</xdr:col>
      <xdr:colOff>640080</xdr:colOff>
      <xdr:row>28</xdr:row>
      <xdr:rowOff>320040</xdr:rowOff>
    </xdr:from>
    <xdr:ext cx="1921608" cy="796927"/>
    <xdr:sp macro="" textlink="[5]IMPERATIVOS!H97">
      <xdr:nvSpPr>
        <xdr:cNvPr id="18" name="CuadroTexto 17">
          <a:extLst>
            <a:ext uri="{FF2B5EF4-FFF2-40B4-BE49-F238E27FC236}">
              <a16:creationId xmlns:a16="http://schemas.microsoft.com/office/drawing/2014/main" id="{AC89D912-EBAC-42BD-A90F-31FC589E5129}"/>
            </a:ext>
          </a:extLst>
        </xdr:cNvPr>
        <xdr:cNvSpPr txBox="1"/>
      </xdr:nvSpPr>
      <xdr:spPr>
        <a:xfrm>
          <a:off x="7985760" y="653796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0192265E-7C36-44F8-BB7C-FD954E8E2A6E}" type="TxLink">
            <a:rPr lang="en-US" sz="6000" b="1" i="0" u="none" strike="noStrike">
              <a:solidFill>
                <a:srgbClr val="FFFF00"/>
              </a:solidFill>
              <a:latin typeface="Arial Narrow" panose="020B0606020202030204" pitchFamily="34" charset="0"/>
              <a:ea typeface="+mn-ea"/>
              <a:cs typeface="Calibri"/>
            </a:rPr>
            <a:pPr marL="0" indent="0" algn="ctr"/>
            <a:t> </a:t>
          </a:fld>
          <a:endParaRPr lang="es-CO" sz="6000" b="1" i="0" u="none" strike="noStrike">
            <a:solidFill>
              <a:srgbClr val="FFFF00"/>
            </a:solidFill>
            <a:latin typeface="Arial Narrow" panose="020B0606020202030204" pitchFamily="34" charset="0"/>
            <a:ea typeface="+mn-ea"/>
            <a:cs typeface="Calibri"/>
          </a:endParaRPr>
        </a:p>
      </xdr:txBody>
    </xdr:sp>
    <xdr:clientData/>
  </xdr:oneCellAnchor>
  <xdr:twoCellAnchor>
    <xdr:from>
      <xdr:col>0</xdr:col>
      <xdr:colOff>0</xdr:colOff>
      <xdr:row>32</xdr:row>
      <xdr:rowOff>396240</xdr:rowOff>
    </xdr:from>
    <xdr:to>
      <xdr:col>7</xdr:col>
      <xdr:colOff>289560</xdr:colOff>
      <xdr:row>47</xdr:row>
      <xdr:rowOff>71120</xdr:rowOff>
    </xdr:to>
    <xdr:graphicFrame macro="">
      <xdr:nvGraphicFramePr>
        <xdr:cNvPr id="20" name="Gráfico 19">
          <a:extLst>
            <a:ext uri="{FF2B5EF4-FFF2-40B4-BE49-F238E27FC236}">
              <a16:creationId xmlns:a16="http://schemas.microsoft.com/office/drawing/2014/main" id="{1283CEF8-7445-4A57-AB73-BE334E5942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20</xdr:row>
      <xdr:rowOff>30480</xdr:rowOff>
    </xdr:from>
    <xdr:to>
      <xdr:col>7</xdr:col>
      <xdr:colOff>289560</xdr:colOff>
      <xdr:row>33</xdr:row>
      <xdr:rowOff>1000760</xdr:rowOff>
    </xdr:to>
    <xdr:graphicFrame macro="">
      <xdr:nvGraphicFramePr>
        <xdr:cNvPr id="23" name="Gráfico 22">
          <a:extLst>
            <a:ext uri="{FF2B5EF4-FFF2-40B4-BE49-F238E27FC236}">
              <a16:creationId xmlns:a16="http://schemas.microsoft.com/office/drawing/2014/main" id="{DBBA0B92-4C11-4835-88C5-C634AD1AC7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8</xdr:col>
      <xdr:colOff>655320</xdr:colOff>
      <xdr:row>33</xdr:row>
      <xdr:rowOff>289560</xdr:rowOff>
    </xdr:from>
    <xdr:ext cx="1921608" cy="796927"/>
    <xdr:sp macro="" textlink="[5]IMPERATIVOS!H97">
      <xdr:nvSpPr>
        <xdr:cNvPr id="24" name="CuadroTexto 23">
          <a:extLst>
            <a:ext uri="{FF2B5EF4-FFF2-40B4-BE49-F238E27FC236}">
              <a16:creationId xmlns:a16="http://schemas.microsoft.com/office/drawing/2014/main" id="{743B0634-FE22-4DB5-A2DB-32A358ECE34E}"/>
            </a:ext>
          </a:extLst>
        </xdr:cNvPr>
        <xdr:cNvSpPr txBox="1"/>
      </xdr:nvSpPr>
      <xdr:spPr>
        <a:xfrm>
          <a:off x="8001000" y="827532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0192265E-7C36-44F8-BB7C-FD954E8E2A6E}" type="TxLink">
            <a:rPr lang="en-US" sz="6000" b="1" i="0" u="none" strike="noStrike">
              <a:solidFill>
                <a:srgbClr val="FFFF00"/>
              </a:solidFill>
              <a:latin typeface="Arial Narrow" panose="020B0606020202030204" pitchFamily="34" charset="0"/>
              <a:ea typeface="+mn-ea"/>
              <a:cs typeface="Calibri"/>
            </a:rPr>
            <a:pPr marL="0" indent="0" algn="ctr"/>
            <a:t> </a:t>
          </a:fld>
          <a:endParaRPr lang="es-CO" sz="6000" b="1" i="0" u="none" strike="noStrike">
            <a:solidFill>
              <a:srgbClr val="FFFF00"/>
            </a:solidFill>
            <a:latin typeface="Arial Narrow" panose="020B0606020202030204" pitchFamily="34" charset="0"/>
            <a:ea typeface="+mn-ea"/>
            <a:cs typeface="Calibri"/>
          </a:endParaRPr>
        </a:p>
      </xdr:txBody>
    </xdr:sp>
    <xdr:clientData/>
  </xdr:oneCellAnchor>
  <xdr:oneCellAnchor>
    <xdr:from>
      <xdr:col>8</xdr:col>
      <xdr:colOff>533400</xdr:colOff>
      <xdr:row>34</xdr:row>
      <xdr:rowOff>487680</xdr:rowOff>
    </xdr:from>
    <xdr:ext cx="1921608" cy="796927"/>
    <xdr:sp macro="" textlink="[5]IMPERATIVOS!H97">
      <xdr:nvSpPr>
        <xdr:cNvPr id="25" name="CuadroTexto 24">
          <a:extLst>
            <a:ext uri="{FF2B5EF4-FFF2-40B4-BE49-F238E27FC236}">
              <a16:creationId xmlns:a16="http://schemas.microsoft.com/office/drawing/2014/main" id="{BC27CDF7-9DAF-4409-8D86-5D1F4F9CEF26}"/>
            </a:ext>
          </a:extLst>
        </xdr:cNvPr>
        <xdr:cNvSpPr txBox="1"/>
      </xdr:nvSpPr>
      <xdr:spPr>
        <a:xfrm>
          <a:off x="7879080" y="1005840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0192265E-7C36-44F8-BB7C-FD954E8E2A6E}" type="TxLink">
            <a:rPr lang="en-US" sz="6000" b="1" i="0" u="none" strike="noStrike">
              <a:solidFill>
                <a:srgbClr val="FFFF00"/>
              </a:solidFill>
              <a:latin typeface="Arial Narrow" panose="020B0606020202030204" pitchFamily="34" charset="0"/>
              <a:ea typeface="+mn-ea"/>
              <a:cs typeface="Calibri"/>
            </a:rPr>
            <a:pPr marL="0" indent="0" algn="ctr"/>
            <a:t> </a:t>
          </a:fld>
          <a:endParaRPr lang="es-CO" sz="6000" b="1" i="0" u="none" strike="noStrike">
            <a:solidFill>
              <a:srgbClr val="FFFF00"/>
            </a:solidFill>
            <a:latin typeface="Arial Narrow" panose="020B0606020202030204" pitchFamily="34" charset="0"/>
            <a:ea typeface="+mn-ea"/>
            <a:cs typeface="Calibri"/>
          </a:endParaRPr>
        </a:p>
      </xdr:txBody>
    </xdr:sp>
    <xdr:clientData/>
  </xdr:oneCellAnchor>
  <xdr:twoCellAnchor>
    <xdr:from>
      <xdr:col>12</xdr:col>
      <xdr:colOff>60960</xdr:colOff>
      <xdr:row>22</xdr:row>
      <xdr:rowOff>121920</xdr:rowOff>
    </xdr:from>
    <xdr:to>
      <xdr:col>20</xdr:col>
      <xdr:colOff>563880</xdr:colOff>
      <xdr:row>33</xdr:row>
      <xdr:rowOff>543560</xdr:rowOff>
    </xdr:to>
    <xdr:graphicFrame macro="">
      <xdr:nvGraphicFramePr>
        <xdr:cNvPr id="27" name="Gráfico 26">
          <a:extLst>
            <a:ext uri="{FF2B5EF4-FFF2-40B4-BE49-F238E27FC236}">
              <a16:creationId xmlns:a16="http://schemas.microsoft.com/office/drawing/2014/main" id="{F9E70E75-B8E7-4575-B89E-A4E8CCAA95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15</xdr:col>
      <xdr:colOff>281940</xdr:colOff>
      <xdr:row>14</xdr:row>
      <xdr:rowOff>99060</xdr:rowOff>
    </xdr:from>
    <xdr:ext cx="6633315" cy="624840"/>
    <xdr:sp macro="" textlink="" fLocksText="0">
      <xdr:nvSpPr>
        <xdr:cNvPr id="28" name="Rectángulo 27">
          <a:extLst>
            <a:ext uri="{FF2B5EF4-FFF2-40B4-BE49-F238E27FC236}">
              <a16:creationId xmlns:a16="http://schemas.microsoft.com/office/drawing/2014/main" id="{2E1741A6-B6B2-4F64-8802-CABCBE83298C}"/>
            </a:ext>
          </a:extLst>
        </xdr:cNvPr>
        <xdr:cNvSpPr/>
      </xdr:nvSpPr>
      <xdr:spPr>
        <a:xfrm>
          <a:off x="13274040" y="2766060"/>
          <a:ext cx="6633315" cy="624840"/>
        </a:xfrm>
        <a:prstGeom prst="rect">
          <a:avLst/>
        </a:prstGeom>
        <a:gradFill flip="none" rotWithShape="1">
          <a:gsLst>
            <a:gs pos="0">
              <a:schemeClr val="tx2">
                <a:lumMod val="75000"/>
                <a:shade val="30000"/>
                <a:satMod val="115000"/>
              </a:schemeClr>
            </a:gs>
            <a:gs pos="70000">
              <a:schemeClr val="tx2">
                <a:lumMod val="75000"/>
                <a:shade val="67500"/>
                <a:satMod val="115000"/>
              </a:schemeClr>
            </a:gs>
            <a:gs pos="94000">
              <a:schemeClr val="accent1">
                <a:lumMod val="50000"/>
              </a:schemeClr>
            </a:gs>
          </a:gsLst>
          <a:lin ang="5400000" scaled="1"/>
          <a:tileRect/>
        </a:gradFill>
        <a:ln>
          <a:noFill/>
        </a:ln>
        <a:effectLst>
          <a:innerShdw blurRad="114300">
            <a:schemeClr val="tx1"/>
          </a:innerShdw>
        </a:effectLst>
        <a:scene3d>
          <a:camera prst="orthographicFront"/>
          <a:lightRig rig="harsh" dir="t"/>
        </a:scene3d>
        <a:sp3d extrusionH="76200" contourW="12700">
          <a:bevelT/>
          <a:bevelB prst="relaxedInset"/>
          <a:extrusionClr>
            <a:schemeClr val="accent1">
              <a:lumMod val="40000"/>
              <a:lumOff val="60000"/>
            </a:schemeClr>
          </a:extrusionClr>
          <a:contourClr>
            <a:schemeClr val="accent1">
              <a:lumMod val="20000"/>
              <a:lumOff val="80000"/>
            </a:schemeClr>
          </a:contourClr>
        </a:sp3d>
      </xdr:spPr>
      <xdr:txBody>
        <a:bodyPr wrap="square" lIns="91440" tIns="45720" rIns="91440" bIns="45720">
          <a:noAutofit/>
        </a:bodyPr>
        <a:lstStyle/>
        <a:p>
          <a:pPr marL="0" indent="0" algn="ctr"/>
          <a:r>
            <a:rPr lang="es-ES" sz="2400" b="1" cap="none" spc="0">
              <a:ln w="0"/>
              <a:solidFill>
                <a:schemeClr val="bg1"/>
              </a:solidFill>
              <a:effectLst>
                <a:outerShdw blurRad="38100" dist="25400" dir="5400000" algn="ctr" rotWithShape="0">
                  <a:srgbClr val="6E747A">
                    <a:alpha val="43000"/>
                  </a:srgbClr>
                </a:outerShdw>
              </a:effectLst>
              <a:latin typeface="+mn-lt"/>
              <a:ea typeface="+mn-ea"/>
              <a:cs typeface="+mn-cs"/>
            </a:rPr>
            <a:t>DESEMPEÑO</a:t>
          </a:r>
          <a:r>
            <a:rPr lang="es-ES" sz="2400" b="1" cap="none" spc="0" baseline="0">
              <a:ln w="0"/>
              <a:solidFill>
                <a:schemeClr val="bg1"/>
              </a:solidFill>
              <a:effectLst>
                <a:outerShdw blurRad="38100" dist="25400" dir="5400000" algn="ctr" rotWithShape="0">
                  <a:srgbClr val="6E747A">
                    <a:alpha val="43000"/>
                  </a:srgbClr>
                </a:outerShdw>
              </a:effectLst>
              <a:latin typeface="+mn-lt"/>
              <a:ea typeface="+mn-ea"/>
              <a:cs typeface="+mn-cs"/>
            </a:rPr>
            <a:t> INSTITUCIONAL VIGENCIA ACTUAL</a:t>
          </a:r>
          <a:endParaRPr lang="es-ES" sz="2400" b="1" cap="none" spc="0">
            <a:ln w="0"/>
            <a:solidFill>
              <a:schemeClr val="bg1"/>
            </a:solidFill>
            <a:effectLst>
              <a:outerShdw blurRad="38100" dist="25400" dir="5400000" algn="ctr" rotWithShape="0">
                <a:srgbClr val="6E747A">
                  <a:alpha val="43000"/>
                </a:srgbClr>
              </a:outerShdw>
            </a:effectLst>
            <a:latin typeface="+mn-lt"/>
            <a:ea typeface="+mn-ea"/>
            <a:cs typeface="+mn-cs"/>
          </a:endParaRPr>
        </a:p>
      </xdr:txBody>
    </xdr:sp>
    <xdr:clientData/>
  </xdr:oneCellAnchor>
  <xdr:twoCellAnchor>
    <xdr:from>
      <xdr:col>12</xdr:col>
      <xdr:colOff>0</xdr:colOff>
      <xdr:row>33</xdr:row>
      <xdr:rowOff>0</xdr:rowOff>
    </xdr:from>
    <xdr:to>
      <xdr:col>21</xdr:col>
      <xdr:colOff>304800</xdr:colOff>
      <xdr:row>43</xdr:row>
      <xdr:rowOff>177800</xdr:rowOff>
    </xdr:to>
    <xdr:graphicFrame macro="">
      <xdr:nvGraphicFramePr>
        <xdr:cNvPr id="29" name="Gráfico 28">
          <a:extLst>
            <a:ext uri="{FF2B5EF4-FFF2-40B4-BE49-F238E27FC236}">
              <a16:creationId xmlns:a16="http://schemas.microsoft.com/office/drawing/2014/main" id="{E0DE1287-E798-48E8-A974-B6754668C2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762000</xdr:colOff>
      <xdr:row>13</xdr:row>
      <xdr:rowOff>152400</xdr:rowOff>
    </xdr:from>
    <xdr:to>
      <xdr:col>13</xdr:col>
      <xdr:colOff>60960</xdr:colOff>
      <xdr:row>39</xdr:row>
      <xdr:rowOff>152400</xdr:rowOff>
    </xdr:to>
    <xdr:sp macro="" textlink="">
      <xdr:nvSpPr>
        <xdr:cNvPr id="30" name="Rectángulo 29">
          <a:extLst>
            <a:ext uri="{FF2B5EF4-FFF2-40B4-BE49-F238E27FC236}">
              <a16:creationId xmlns:a16="http://schemas.microsoft.com/office/drawing/2014/main" id="{F62F6C10-0402-4511-B187-5FB5903351B8}"/>
            </a:ext>
          </a:extLst>
        </xdr:cNvPr>
        <xdr:cNvSpPr/>
      </xdr:nvSpPr>
      <xdr:spPr>
        <a:xfrm>
          <a:off x="12070080" y="2529840"/>
          <a:ext cx="91440" cy="9083040"/>
        </a:xfrm>
        <a:prstGeom prst="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oneCellAnchor>
    <xdr:from>
      <xdr:col>20</xdr:col>
      <xdr:colOff>492157</xdr:colOff>
      <xdr:row>20</xdr:row>
      <xdr:rowOff>22103</xdr:rowOff>
    </xdr:from>
    <xdr:ext cx="3461397" cy="405432"/>
    <xdr:sp macro="" textlink="">
      <xdr:nvSpPr>
        <xdr:cNvPr id="31" name="Rectángulo 30">
          <a:extLst>
            <a:ext uri="{FF2B5EF4-FFF2-40B4-BE49-F238E27FC236}">
              <a16:creationId xmlns:a16="http://schemas.microsoft.com/office/drawing/2014/main" id="{2CBA6F04-B2C8-4A09-ABBB-DA6634B2CC52}"/>
            </a:ext>
          </a:extLst>
        </xdr:cNvPr>
        <xdr:cNvSpPr/>
      </xdr:nvSpPr>
      <xdr:spPr>
        <a:xfrm>
          <a:off x="18140077" y="3679703"/>
          <a:ext cx="3461397" cy="405432"/>
        </a:xfrm>
        <a:prstGeom prst="rect">
          <a:avLst/>
        </a:prstGeom>
        <a:noFill/>
      </xdr:spPr>
      <xdr:txBody>
        <a:bodyPr wrap="none" lIns="91440" tIns="45720" rIns="91440" bIns="45720">
          <a:spAutoFit/>
        </a:bodyPr>
        <a:lstStyle/>
        <a:p>
          <a:pPr algn="ctr"/>
          <a:r>
            <a:rPr lang="es-ES" sz="2000" b="1" cap="none" spc="0">
              <a:ln w="0"/>
              <a:solidFill>
                <a:schemeClr val="bg1">
                  <a:lumMod val="85000"/>
                </a:schemeClr>
              </a:solidFill>
              <a:effectLst>
                <a:reflection blurRad="6350" stA="53000" endA="300" endPos="35500" dir="5400000" sy="-90000" algn="bl" rotWithShape="0"/>
              </a:effectLst>
            </a:rPr>
            <a:t>IMPERACTIVOS</a:t>
          </a:r>
          <a:r>
            <a:rPr lang="es-ES" sz="2000" b="1" cap="none" spc="0" baseline="0">
              <a:ln w="0"/>
              <a:solidFill>
                <a:schemeClr val="bg1">
                  <a:lumMod val="85000"/>
                </a:schemeClr>
              </a:solidFill>
              <a:effectLst>
                <a:reflection blurRad="6350" stA="53000" endA="300" endPos="35500" dir="5400000" sy="-90000" algn="bl" rotWithShape="0"/>
              </a:effectLst>
            </a:rPr>
            <a:t> ESTRATÉGICOS</a:t>
          </a:r>
          <a:endParaRPr lang="es-ES" sz="2000" b="1" cap="none" spc="0">
            <a:ln w="0"/>
            <a:solidFill>
              <a:schemeClr val="bg1">
                <a:lumMod val="85000"/>
              </a:schemeClr>
            </a:solidFill>
            <a:effectLst>
              <a:reflection blurRad="6350" stA="53000" endA="300" endPos="35500" dir="5400000" sy="-90000" algn="bl" rotWithShape="0"/>
            </a:effectLst>
          </a:endParaRPr>
        </a:p>
      </xdr:txBody>
    </xdr:sp>
    <xdr:clientData/>
  </xdr:oneCellAnchor>
  <xdr:twoCellAnchor>
    <xdr:from>
      <xdr:col>20</xdr:col>
      <xdr:colOff>518160</xdr:colOff>
      <xdr:row>23</xdr:row>
      <xdr:rowOff>76200</xdr:rowOff>
    </xdr:from>
    <xdr:to>
      <xdr:col>25</xdr:col>
      <xdr:colOff>0</xdr:colOff>
      <xdr:row>25</xdr:row>
      <xdr:rowOff>0</xdr:rowOff>
    </xdr:to>
    <xdr:sp macro="" textlink="">
      <xdr:nvSpPr>
        <xdr:cNvPr id="32" name="Rectángulo redondeado 4">
          <a:extLst>
            <a:ext uri="{FF2B5EF4-FFF2-40B4-BE49-F238E27FC236}">
              <a16:creationId xmlns:a16="http://schemas.microsoft.com/office/drawing/2014/main" id="{9B933EEF-B1DD-45F5-A854-5A57EB13C050}"/>
            </a:ext>
          </a:extLst>
        </xdr:cNvPr>
        <xdr:cNvSpPr/>
      </xdr:nvSpPr>
      <xdr:spPr>
        <a:xfrm>
          <a:off x="18166080" y="4282440"/>
          <a:ext cx="3444240" cy="655320"/>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i="0" u="none" strike="noStrike">
              <a:solidFill>
                <a:schemeClr val="tx1"/>
              </a:solidFill>
              <a:effectLst/>
              <a:latin typeface="Franklin Gothic Book" panose="020B0503020102020204" pitchFamily="34" charset="0"/>
              <a:ea typeface="+mn-ea"/>
              <a:cs typeface="+mn-cs"/>
            </a:rPr>
            <a:t>MODERNIZACIÓN DE SISTEMAS DE INFORMACIÓN  </a:t>
          </a:r>
        </a:p>
      </xdr:txBody>
    </xdr:sp>
    <xdr:clientData/>
  </xdr:twoCellAnchor>
  <xdr:oneCellAnchor>
    <xdr:from>
      <xdr:col>21</xdr:col>
      <xdr:colOff>685800</xdr:colOff>
      <xdr:row>25</xdr:row>
      <xdr:rowOff>152400</xdr:rowOff>
    </xdr:from>
    <xdr:ext cx="1863728" cy="796927"/>
    <xdr:sp macro="" textlink="[5]IMPERATIVOS!H96">
      <xdr:nvSpPr>
        <xdr:cNvPr id="33" name="CuadroTexto 32">
          <a:extLst>
            <a:ext uri="{FF2B5EF4-FFF2-40B4-BE49-F238E27FC236}">
              <a16:creationId xmlns:a16="http://schemas.microsoft.com/office/drawing/2014/main" id="{6F38A872-5ED3-4C29-B802-334D9F1FDD14}"/>
            </a:ext>
          </a:extLst>
        </xdr:cNvPr>
        <xdr:cNvSpPr txBox="1"/>
      </xdr:nvSpPr>
      <xdr:spPr>
        <a:xfrm>
          <a:off x="19126200" y="5090160"/>
          <a:ext cx="186372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A2466EA4-6D59-42F4-89ED-08CA67729DBF}" type="TxLink">
            <a:rPr lang="en-US" sz="6000" b="1" i="0" u="none" strike="noStrike">
              <a:solidFill>
                <a:srgbClr val="FFFF00"/>
              </a:solidFill>
              <a:latin typeface="Arial Narrow" panose="020B0606020202030204" pitchFamily="34" charset="0"/>
              <a:ea typeface="+mn-ea"/>
              <a:cs typeface="Calibri"/>
            </a:rPr>
            <a:pPr marL="0" indent="0" algn="ctr"/>
            <a:t> </a:t>
          </a:fld>
          <a:endParaRPr lang="es-CO" sz="6000" b="1" i="0" u="none" strike="noStrike">
            <a:solidFill>
              <a:srgbClr val="FFFF00"/>
            </a:solidFill>
            <a:latin typeface="Arial Narrow" panose="020B0606020202030204" pitchFamily="34" charset="0"/>
            <a:ea typeface="+mn-ea"/>
            <a:cs typeface="Calibri"/>
          </a:endParaRPr>
        </a:p>
      </xdr:txBody>
    </xdr:sp>
    <xdr:clientData/>
  </xdr:oneCellAnchor>
  <xdr:twoCellAnchor>
    <xdr:from>
      <xdr:col>20</xdr:col>
      <xdr:colOff>548640</xdr:colOff>
      <xdr:row>26</xdr:row>
      <xdr:rowOff>518161</xdr:rowOff>
    </xdr:from>
    <xdr:to>
      <xdr:col>25</xdr:col>
      <xdr:colOff>106680</xdr:colOff>
      <xdr:row>28</xdr:row>
      <xdr:rowOff>381001</xdr:rowOff>
    </xdr:to>
    <xdr:sp macro="" textlink="">
      <xdr:nvSpPr>
        <xdr:cNvPr id="34" name="Rectángulo redondeado 7">
          <a:extLst>
            <a:ext uri="{FF2B5EF4-FFF2-40B4-BE49-F238E27FC236}">
              <a16:creationId xmlns:a16="http://schemas.microsoft.com/office/drawing/2014/main" id="{B6E157A5-120D-4E11-840F-004EE4310363}"/>
            </a:ext>
          </a:extLst>
        </xdr:cNvPr>
        <xdr:cNvSpPr/>
      </xdr:nvSpPr>
      <xdr:spPr>
        <a:xfrm>
          <a:off x="18196560" y="6004561"/>
          <a:ext cx="3520440" cy="594360"/>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softEdge rad="1270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OPTIMIZACIÓN DE PROCESOS</a:t>
          </a:r>
        </a:p>
      </xdr:txBody>
    </xdr:sp>
    <xdr:clientData/>
  </xdr:twoCellAnchor>
  <xdr:oneCellAnchor>
    <xdr:from>
      <xdr:col>21</xdr:col>
      <xdr:colOff>762000</xdr:colOff>
      <xdr:row>29</xdr:row>
      <xdr:rowOff>15240</xdr:rowOff>
    </xdr:from>
    <xdr:ext cx="1921608" cy="796927"/>
    <xdr:sp macro="" textlink="[5]IMPERATIVOS!H97">
      <xdr:nvSpPr>
        <xdr:cNvPr id="35" name="CuadroTexto 34">
          <a:extLst>
            <a:ext uri="{FF2B5EF4-FFF2-40B4-BE49-F238E27FC236}">
              <a16:creationId xmlns:a16="http://schemas.microsoft.com/office/drawing/2014/main" id="{E882163F-AD7D-4721-BDCA-DF4B54CCB532}"/>
            </a:ext>
          </a:extLst>
        </xdr:cNvPr>
        <xdr:cNvSpPr txBox="1"/>
      </xdr:nvSpPr>
      <xdr:spPr>
        <a:xfrm>
          <a:off x="19202400" y="676656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0192265E-7C36-44F8-BB7C-FD954E8E2A6E}" type="TxLink">
            <a:rPr lang="en-US" sz="6000" b="1" i="0" u="none" strike="noStrike">
              <a:solidFill>
                <a:srgbClr val="FFFF00"/>
              </a:solidFill>
              <a:latin typeface="Arial Narrow" panose="020B0606020202030204" pitchFamily="34" charset="0"/>
              <a:ea typeface="+mn-ea"/>
              <a:cs typeface="Calibri"/>
            </a:rPr>
            <a:pPr marL="0" indent="0" algn="ctr"/>
            <a:t> </a:t>
          </a:fld>
          <a:endParaRPr lang="es-CO" sz="6000" b="1" i="0" u="none" strike="noStrike">
            <a:solidFill>
              <a:srgbClr val="FFFF00"/>
            </a:solidFill>
            <a:latin typeface="Arial Narrow" panose="020B0606020202030204" pitchFamily="34" charset="0"/>
            <a:ea typeface="+mn-ea"/>
            <a:cs typeface="Calibri"/>
          </a:endParaRPr>
        </a:p>
      </xdr:txBody>
    </xdr:sp>
    <xdr:clientData/>
  </xdr:oneCellAnchor>
  <xdr:twoCellAnchor>
    <xdr:from>
      <xdr:col>21</xdr:col>
      <xdr:colOff>0</xdr:colOff>
      <xdr:row>32</xdr:row>
      <xdr:rowOff>518161</xdr:rowOff>
    </xdr:from>
    <xdr:to>
      <xdr:col>25</xdr:col>
      <xdr:colOff>106680</xdr:colOff>
      <xdr:row>33</xdr:row>
      <xdr:rowOff>472440</xdr:rowOff>
    </xdr:to>
    <xdr:sp macro="" textlink="">
      <xdr:nvSpPr>
        <xdr:cNvPr id="37" name="Rectángulo redondeado 9">
          <a:extLst>
            <a:ext uri="{FF2B5EF4-FFF2-40B4-BE49-F238E27FC236}">
              <a16:creationId xmlns:a16="http://schemas.microsoft.com/office/drawing/2014/main" id="{1FC62449-DF3E-40A5-9227-4C4937385153}"/>
            </a:ext>
          </a:extLst>
        </xdr:cNvPr>
        <xdr:cNvSpPr/>
      </xdr:nvSpPr>
      <xdr:spPr>
        <a:xfrm>
          <a:off x="18440400" y="7818121"/>
          <a:ext cx="3276600" cy="64007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softEdge rad="63500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POSICIONAMIENTO COMO ENTE RECTOR</a:t>
          </a:r>
        </a:p>
      </xdr:txBody>
    </xdr:sp>
    <xdr:clientData/>
  </xdr:twoCellAnchor>
  <xdr:twoCellAnchor>
    <xdr:from>
      <xdr:col>21</xdr:col>
      <xdr:colOff>30480</xdr:colOff>
      <xdr:row>33</xdr:row>
      <xdr:rowOff>1402081</xdr:rowOff>
    </xdr:from>
    <xdr:to>
      <xdr:col>25</xdr:col>
      <xdr:colOff>182880</xdr:colOff>
      <xdr:row>34</xdr:row>
      <xdr:rowOff>457200</xdr:rowOff>
    </xdr:to>
    <xdr:sp macro="" textlink="">
      <xdr:nvSpPr>
        <xdr:cNvPr id="38" name="Rectángulo redondeado 11">
          <a:extLst>
            <a:ext uri="{FF2B5EF4-FFF2-40B4-BE49-F238E27FC236}">
              <a16:creationId xmlns:a16="http://schemas.microsoft.com/office/drawing/2014/main" id="{682192B0-828F-46D3-9E88-7C92976F2C68}"/>
            </a:ext>
          </a:extLst>
        </xdr:cNvPr>
        <xdr:cNvSpPr/>
      </xdr:nvSpPr>
      <xdr:spPr>
        <a:xfrm>
          <a:off x="18470880" y="9387841"/>
          <a:ext cx="3322320" cy="64007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 RESPALDO JURÍDICO QUE GENERA CONFIANZA. </a:t>
          </a:r>
        </a:p>
      </xdr:txBody>
    </xdr:sp>
    <xdr:clientData/>
  </xdr:twoCellAnchor>
  <xdr:oneCellAnchor>
    <xdr:from>
      <xdr:col>22</xdr:col>
      <xdr:colOff>60960</xdr:colOff>
      <xdr:row>33</xdr:row>
      <xdr:rowOff>518160</xdr:rowOff>
    </xdr:from>
    <xdr:ext cx="1921608" cy="796927"/>
    <xdr:sp macro="" textlink="[5]IMPERATIVOS!H97">
      <xdr:nvSpPr>
        <xdr:cNvPr id="39" name="CuadroTexto 38">
          <a:extLst>
            <a:ext uri="{FF2B5EF4-FFF2-40B4-BE49-F238E27FC236}">
              <a16:creationId xmlns:a16="http://schemas.microsoft.com/office/drawing/2014/main" id="{AA1AC3F5-8977-46D2-BF4A-1989120BAA96}"/>
            </a:ext>
          </a:extLst>
        </xdr:cNvPr>
        <xdr:cNvSpPr txBox="1"/>
      </xdr:nvSpPr>
      <xdr:spPr>
        <a:xfrm>
          <a:off x="19293840" y="850392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0192265E-7C36-44F8-BB7C-FD954E8E2A6E}" type="TxLink">
            <a:rPr lang="en-US" sz="6000" b="1" i="0" u="none" strike="noStrike">
              <a:solidFill>
                <a:srgbClr val="FFFF00"/>
              </a:solidFill>
              <a:latin typeface="Arial Narrow" panose="020B0606020202030204" pitchFamily="34" charset="0"/>
              <a:ea typeface="+mn-ea"/>
              <a:cs typeface="Calibri"/>
            </a:rPr>
            <a:pPr marL="0" indent="0" algn="ctr"/>
            <a:t> </a:t>
          </a:fld>
          <a:endParaRPr lang="es-CO" sz="6000" b="1" i="0" u="none" strike="noStrike">
            <a:solidFill>
              <a:srgbClr val="FFFF00"/>
            </a:solidFill>
            <a:latin typeface="Arial Narrow" panose="020B0606020202030204" pitchFamily="34" charset="0"/>
            <a:ea typeface="+mn-ea"/>
            <a:cs typeface="Calibri"/>
          </a:endParaRPr>
        </a:p>
      </xdr:txBody>
    </xdr:sp>
    <xdr:clientData/>
  </xdr:oneCellAnchor>
  <xdr:oneCellAnchor>
    <xdr:from>
      <xdr:col>22</xdr:col>
      <xdr:colOff>91440</xdr:colOff>
      <xdr:row>34</xdr:row>
      <xdr:rowOff>579120</xdr:rowOff>
    </xdr:from>
    <xdr:ext cx="1921608" cy="796927"/>
    <xdr:sp macro="" textlink="[5]IMPERATIVOS!H97">
      <xdr:nvSpPr>
        <xdr:cNvPr id="40" name="CuadroTexto 39">
          <a:extLst>
            <a:ext uri="{FF2B5EF4-FFF2-40B4-BE49-F238E27FC236}">
              <a16:creationId xmlns:a16="http://schemas.microsoft.com/office/drawing/2014/main" id="{6B8A3B85-CF80-416B-B30C-93ABE38CF549}"/>
            </a:ext>
          </a:extLst>
        </xdr:cNvPr>
        <xdr:cNvSpPr txBox="1"/>
      </xdr:nvSpPr>
      <xdr:spPr>
        <a:xfrm>
          <a:off x="19324320" y="1014984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0192265E-7C36-44F8-BB7C-FD954E8E2A6E}" type="TxLink">
            <a:rPr lang="en-US" sz="6000" b="1" i="0" u="none" strike="noStrike">
              <a:solidFill>
                <a:srgbClr val="FFFF00"/>
              </a:solidFill>
              <a:latin typeface="Arial Narrow" panose="020B0606020202030204" pitchFamily="34" charset="0"/>
              <a:ea typeface="+mn-ea"/>
              <a:cs typeface="Calibri"/>
            </a:rPr>
            <a:pPr marL="0" indent="0" algn="ctr"/>
            <a:t> </a:t>
          </a:fld>
          <a:endParaRPr lang="es-CO" sz="6000" b="1" i="0" u="none" strike="noStrike">
            <a:solidFill>
              <a:srgbClr val="FFFF00"/>
            </a:solidFill>
            <a:latin typeface="Arial Narrow" panose="020B0606020202030204" pitchFamily="34" charset="0"/>
            <a:ea typeface="+mn-ea"/>
            <a:cs typeface="Calibri"/>
          </a:endParaRPr>
        </a:p>
      </xdr:txBody>
    </xdr:sp>
    <xdr:clientData/>
  </xdr:oneCellAnchor>
  <xdr:twoCellAnchor>
    <xdr:from>
      <xdr:col>25</xdr:col>
      <xdr:colOff>1082040</xdr:colOff>
      <xdr:row>13</xdr:row>
      <xdr:rowOff>121920</xdr:rowOff>
    </xdr:from>
    <xdr:to>
      <xdr:col>25</xdr:col>
      <xdr:colOff>1173480</xdr:colOff>
      <xdr:row>39</xdr:row>
      <xdr:rowOff>121920</xdr:rowOff>
    </xdr:to>
    <xdr:sp macro="" textlink="">
      <xdr:nvSpPr>
        <xdr:cNvPr id="41" name="Rectángulo 40">
          <a:extLst>
            <a:ext uri="{FF2B5EF4-FFF2-40B4-BE49-F238E27FC236}">
              <a16:creationId xmlns:a16="http://schemas.microsoft.com/office/drawing/2014/main" id="{193DAB82-E5DB-46A3-A186-4B5F0EE8F04A}"/>
            </a:ext>
          </a:extLst>
        </xdr:cNvPr>
        <xdr:cNvSpPr/>
      </xdr:nvSpPr>
      <xdr:spPr>
        <a:xfrm>
          <a:off x="22692360" y="2499360"/>
          <a:ext cx="91440" cy="9083040"/>
        </a:xfrm>
        <a:prstGeom prst="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25</xdr:col>
      <xdr:colOff>1188720</xdr:colOff>
      <xdr:row>26</xdr:row>
      <xdr:rowOff>30480</xdr:rowOff>
    </xdr:from>
    <xdr:to>
      <xdr:col>31</xdr:col>
      <xdr:colOff>15240</xdr:colOff>
      <xdr:row>26</xdr:row>
      <xdr:rowOff>152400</xdr:rowOff>
    </xdr:to>
    <xdr:sp macro="" textlink="">
      <xdr:nvSpPr>
        <xdr:cNvPr id="42" name="Rectángulo 41">
          <a:extLst>
            <a:ext uri="{FF2B5EF4-FFF2-40B4-BE49-F238E27FC236}">
              <a16:creationId xmlns:a16="http://schemas.microsoft.com/office/drawing/2014/main" id="{866E61C2-3A0F-41B1-9416-A4821B567258}"/>
            </a:ext>
          </a:extLst>
        </xdr:cNvPr>
        <xdr:cNvSpPr/>
      </xdr:nvSpPr>
      <xdr:spPr>
        <a:xfrm rot="5400000">
          <a:off x="25351740" y="2964180"/>
          <a:ext cx="121920" cy="5227320"/>
        </a:xfrm>
        <a:prstGeom prst="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oneCellAnchor>
    <xdr:from>
      <xdr:col>27</xdr:col>
      <xdr:colOff>1025587</xdr:colOff>
      <xdr:row>26</xdr:row>
      <xdr:rowOff>219294</xdr:rowOff>
    </xdr:from>
    <xdr:ext cx="3450240" cy="781111"/>
    <xdr:sp macro="" textlink="">
      <xdr:nvSpPr>
        <xdr:cNvPr id="43" name="Rectángulo 42">
          <a:extLst>
            <a:ext uri="{FF2B5EF4-FFF2-40B4-BE49-F238E27FC236}">
              <a16:creationId xmlns:a16="http://schemas.microsoft.com/office/drawing/2014/main" id="{E6FDACB6-45FD-46C1-A84C-97508E72B568}"/>
            </a:ext>
          </a:extLst>
        </xdr:cNvPr>
        <xdr:cNvSpPr/>
      </xdr:nvSpPr>
      <xdr:spPr>
        <a:xfrm>
          <a:off x="25638187" y="5896194"/>
          <a:ext cx="3450240" cy="781111"/>
        </a:xfrm>
        <a:prstGeom prst="rect">
          <a:avLst/>
        </a:prstGeom>
        <a:noFill/>
      </xdr:spPr>
      <xdr:txBody>
        <a:bodyPr wrap="none" lIns="91440" tIns="45720" rIns="91440" bIns="45720">
          <a:spAutoFit/>
        </a:bodyPr>
        <a:lstStyle/>
        <a:p>
          <a:pPr algn="ctr"/>
          <a:r>
            <a:rPr lang="es-ES" sz="4400" b="1" cap="none" spc="0">
              <a:ln w="0"/>
              <a:solidFill>
                <a:schemeClr val="bg1">
                  <a:lumMod val="85000"/>
                </a:schemeClr>
              </a:solidFill>
              <a:effectLst>
                <a:reflection blurRad="6350" stA="53000" endA="300" endPos="35500" dir="5400000" sy="-90000" algn="bl" rotWithShape="0"/>
              </a:effectLst>
            </a:rPr>
            <a:t>INDICADORES</a:t>
          </a:r>
        </a:p>
      </xdr:txBody>
    </xdr:sp>
    <xdr:clientData/>
  </xdr:oneCellAnchor>
  <xdr:twoCellAnchor>
    <xdr:from>
      <xdr:col>25</xdr:col>
      <xdr:colOff>1584960</xdr:colOff>
      <xdr:row>28</xdr:row>
      <xdr:rowOff>472440</xdr:rowOff>
    </xdr:from>
    <xdr:to>
      <xdr:col>28</xdr:col>
      <xdr:colOff>1123950</xdr:colOff>
      <xdr:row>33</xdr:row>
      <xdr:rowOff>1356360</xdr:rowOff>
    </xdr:to>
    <xdr:graphicFrame macro="">
      <xdr:nvGraphicFramePr>
        <xdr:cNvPr id="46" name="Gráfico 45">
          <a:extLst>
            <a:ext uri="{FF2B5EF4-FFF2-40B4-BE49-F238E27FC236}">
              <a16:creationId xmlns:a16="http://schemas.microsoft.com/office/drawing/2014/main" id="{0FAEB0C7-3504-4900-844C-F4D62ED66C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25</xdr:col>
      <xdr:colOff>1573530</xdr:colOff>
      <xdr:row>34</xdr:row>
      <xdr:rowOff>110491</xdr:rowOff>
    </xdr:from>
    <xdr:to>
      <xdr:col>28</xdr:col>
      <xdr:colOff>1123950</xdr:colOff>
      <xdr:row>35</xdr:row>
      <xdr:rowOff>80010</xdr:rowOff>
    </xdr:to>
    <xdr:sp macro="" textlink="">
      <xdr:nvSpPr>
        <xdr:cNvPr id="48" name="Rectángulo redondeado 11">
          <a:extLst>
            <a:ext uri="{FF2B5EF4-FFF2-40B4-BE49-F238E27FC236}">
              <a16:creationId xmlns:a16="http://schemas.microsoft.com/office/drawing/2014/main" id="{6F55C05C-C72E-4F05-A220-2433AB367847}"/>
            </a:ext>
          </a:extLst>
        </xdr:cNvPr>
        <xdr:cNvSpPr/>
      </xdr:nvSpPr>
      <xdr:spPr>
        <a:xfrm>
          <a:off x="22566630" y="9902191"/>
          <a:ext cx="4770120" cy="63626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 TOTAL</a:t>
          </a:r>
          <a:r>
            <a:rPr lang="es-CO" sz="1600" b="1" i="0" u="none" strike="noStrike" baseline="0">
              <a:solidFill>
                <a:schemeClr val="tx1"/>
              </a:solidFill>
              <a:effectLst/>
              <a:latin typeface="Franklin Gothic Book" panose="020B0503020102020204" pitchFamily="34" charset="0"/>
              <a:ea typeface="+mn-ea"/>
              <a:cs typeface="+mn-cs"/>
            </a:rPr>
            <a:t> DE INDICADORES</a:t>
          </a:r>
          <a:endParaRPr lang="es-CO" sz="1600" b="1" i="0" u="none" strike="noStrike">
            <a:solidFill>
              <a:schemeClr val="tx1"/>
            </a:solidFill>
            <a:effectLst/>
            <a:latin typeface="Franklin Gothic Book" panose="020B0503020102020204" pitchFamily="34" charset="0"/>
            <a:ea typeface="+mn-ea"/>
            <a:cs typeface="+mn-cs"/>
          </a:endParaRPr>
        </a:p>
      </xdr:txBody>
    </xdr:sp>
    <xdr:clientData/>
  </xdr:twoCellAnchor>
  <xdr:oneCellAnchor>
    <xdr:from>
      <xdr:col>26</xdr:col>
      <xdr:colOff>960120</xdr:colOff>
      <xdr:row>35</xdr:row>
      <xdr:rowOff>358140</xdr:rowOff>
    </xdr:from>
    <xdr:ext cx="1921608" cy="796927"/>
    <xdr:sp macro="" textlink="[5]IMPERATIVOS!H97">
      <xdr:nvSpPr>
        <xdr:cNvPr id="49" name="CuadroTexto 48">
          <a:extLst>
            <a:ext uri="{FF2B5EF4-FFF2-40B4-BE49-F238E27FC236}">
              <a16:creationId xmlns:a16="http://schemas.microsoft.com/office/drawing/2014/main" id="{EBEE1483-E553-4205-BC72-DAF2F5F513B1}"/>
            </a:ext>
          </a:extLst>
        </xdr:cNvPr>
        <xdr:cNvSpPr txBox="1"/>
      </xdr:nvSpPr>
      <xdr:spPr>
        <a:xfrm>
          <a:off x="23972520" y="1081659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0192265E-7C36-44F8-BB7C-FD954E8E2A6E}" type="TxLink">
            <a:rPr lang="en-US" sz="6000" b="1" i="0" u="none" strike="noStrike">
              <a:solidFill>
                <a:srgbClr val="FFFF00"/>
              </a:solidFill>
              <a:latin typeface="Arial Narrow" panose="020B0606020202030204" pitchFamily="34" charset="0"/>
              <a:ea typeface="+mn-ea"/>
              <a:cs typeface="Calibri"/>
            </a:rPr>
            <a:pPr marL="0" indent="0" algn="ctr"/>
            <a:t> </a:t>
          </a:fld>
          <a:endParaRPr lang="es-CO" sz="6000" b="1" i="0" u="none" strike="noStrike">
            <a:solidFill>
              <a:srgbClr val="FFFF00"/>
            </a:solidFill>
            <a:latin typeface="Arial Narrow" panose="020B0606020202030204" pitchFamily="34" charset="0"/>
            <a:ea typeface="+mn-ea"/>
            <a:cs typeface="Calibri"/>
          </a:endParaRPr>
        </a:p>
      </xdr:txBody>
    </xdr:sp>
    <xdr:clientData/>
  </xdr:oneCellAnchor>
  <xdr:twoCellAnchor>
    <xdr:from>
      <xdr:col>28</xdr:col>
      <xdr:colOff>1409700</xdr:colOff>
      <xdr:row>28</xdr:row>
      <xdr:rowOff>495300</xdr:rowOff>
    </xdr:from>
    <xdr:to>
      <xdr:col>30</xdr:col>
      <xdr:colOff>2533650</xdr:colOff>
      <xdr:row>33</xdr:row>
      <xdr:rowOff>1387025</xdr:rowOff>
    </xdr:to>
    <xdr:graphicFrame macro="">
      <xdr:nvGraphicFramePr>
        <xdr:cNvPr id="50" name="Gráfico 49">
          <a:extLst>
            <a:ext uri="{FF2B5EF4-FFF2-40B4-BE49-F238E27FC236}">
              <a16:creationId xmlns:a16="http://schemas.microsoft.com/office/drawing/2014/main" id="{7D176102-910E-42FA-B1C9-DA5CA4DAB0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1668780</xdr:colOff>
      <xdr:row>34</xdr:row>
      <xdr:rowOff>110491</xdr:rowOff>
    </xdr:from>
    <xdr:to>
      <xdr:col>30</xdr:col>
      <xdr:colOff>2438400</xdr:colOff>
      <xdr:row>35</xdr:row>
      <xdr:rowOff>80010</xdr:rowOff>
    </xdr:to>
    <xdr:sp macro="" textlink="">
      <xdr:nvSpPr>
        <xdr:cNvPr id="74" name="Rectángulo redondeado 11">
          <a:extLst>
            <a:ext uri="{FF2B5EF4-FFF2-40B4-BE49-F238E27FC236}">
              <a16:creationId xmlns:a16="http://schemas.microsoft.com/office/drawing/2014/main" id="{5478892A-476E-4E17-8E9A-8FDC0A642C90}"/>
            </a:ext>
          </a:extLst>
        </xdr:cNvPr>
        <xdr:cNvSpPr/>
      </xdr:nvSpPr>
      <xdr:spPr>
        <a:xfrm>
          <a:off x="27881580" y="9902191"/>
          <a:ext cx="4770120" cy="636269"/>
        </a:xfrm>
        <a:prstGeom prst="roundRect">
          <a:avLst/>
        </a:prstGeom>
        <a:gradFill flip="none" rotWithShape="1">
          <a:gsLst>
            <a:gs pos="0">
              <a:schemeClr val="accent5">
                <a:lumMod val="20000"/>
                <a:lumOff val="80000"/>
              </a:schemeClr>
            </a:gs>
            <a:gs pos="97000">
              <a:schemeClr val="accent5">
                <a:lumMod val="60000"/>
                <a:lumOff val="40000"/>
              </a:schemeClr>
            </a:gs>
          </a:gsLst>
          <a:path path="circle">
            <a:fillToRect l="50000" t="50000" r="50000" b="50000"/>
          </a:path>
          <a:tileRect/>
        </a:gradFill>
        <a:ln>
          <a:noFill/>
        </a:ln>
        <a:effectLst>
          <a:outerShdw blurRad="635000" dist="266700" dir="10800000" algn="r" rotWithShape="0">
            <a:prstClr val="black">
              <a:alpha val="40000"/>
            </a:prstClr>
          </a:outerShdw>
          <a:reflection blurRad="6350" stA="50000" endA="275" endPos="40000" dist="101600" dir="5400000" sy="-100000" algn="bl" rotWithShape="0"/>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i="0" u="none" strike="noStrike">
              <a:solidFill>
                <a:schemeClr val="tx1"/>
              </a:solidFill>
              <a:effectLst/>
              <a:latin typeface="Franklin Gothic Book" panose="020B0503020102020204" pitchFamily="34" charset="0"/>
              <a:ea typeface="+mn-ea"/>
              <a:cs typeface="+mn-cs"/>
            </a:rPr>
            <a:t> TOTAL</a:t>
          </a:r>
          <a:r>
            <a:rPr lang="es-CO" sz="1600" b="1" i="0" u="none" strike="noStrike" baseline="0">
              <a:solidFill>
                <a:schemeClr val="tx1"/>
              </a:solidFill>
              <a:effectLst/>
              <a:latin typeface="Franklin Gothic Book" panose="020B0503020102020204" pitchFamily="34" charset="0"/>
              <a:ea typeface="+mn-ea"/>
              <a:cs typeface="+mn-cs"/>
            </a:rPr>
            <a:t> CUMPLIDOS</a:t>
          </a:r>
          <a:endParaRPr lang="es-CO" sz="1600" b="1" i="0" u="none" strike="noStrike">
            <a:solidFill>
              <a:schemeClr val="tx1"/>
            </a:solidFill>
            <a:effectLst/>
            <a:latin typeface="Franklin Gothic Book" panose="020B0503020102020204" pitchFamily="34" charset="0"/>
            <a:ea typeface="+mn-ea"/>
            <a:cs typeface="+mn-cs"/>
          </a:endParaRPr>
        </a:p>
      </xdr:txBody>
    </xdr:sp>
    <xdr:clientData/>
  </xdr:twoCellAnchor>
  <xdr:oneCellAnchor>
    <xdr:from>
      <xdr:col>29</xdr:col>
      <xdr:colOff>731520</xdr:colOff>
      <xdr:row>35</xdr:row>
      <xdr:rowOff>339090</xdr:rowOff>
    </xdr:from>
    <xdr:ext cx="1921608" cy="796927"/>
    <xdr:sp macro="" textlink="[5]IMPERATIVOS!H97">
      <xdr:nvSpPr>
        <xdr:cNvPr id="75" name="CuadroTexto 74">
          <a:extLst>
            <a:ext uri="{FF2B5EF4-FFF2-40B4-BE49-F238E27FC236}">
              <a16:creationId xmlns:a16="http://schemas.microsoft.com/office/drawing/2014/main" id="{4EE88413-C7B1-4F9A-99FC-A6CFD9DBCC42}"/>
            </a:ext>
          </a:extLst>
        </xdr:cNvPr>
        <xdr:cNvSpPr txBox="1"/>
      </xdr:nvSpPr>
      <xdr:spPr>
        <a:xfrm>
          <a:off x="29344620" y="10797540"/>
          <a:ext cx="1921608" cy="796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indent="0" algn="ctr"/>
          <a:fld id="{0192265E-7C36-44F8-BB7C-FD954E8E2A6E}" type="TxLink">
            <a:rPr lang="en-US" sz="6000" b="1" i="0" u="none" strike="noStrike">
              <a:solidFill>
                <a:srgbClr val="FFFF00"/>
              </a:solidFill>
              <a:latin typeface="Arial Narrow" panose="020B0606020202030204" pitchFamily="34" charset="0"/>
              <a:ea typeface="+mn-ea"/>
              <a:cs typeface="Calibri"/>
            </a:rPr>
            <a:pPr marL="0" indent="0" algn="ctr"/>
            <a:t> </a:t>
          </a:fld>
          <a:endParaRPr lang="es-CO" sz="6000" b="1" i="0" u="none" strike="noStrike">
            <a:solidFill>
              <a:srgbClr val="FFFF00"/>
            </a:solidFill>
            <a:latin typeface="Arial Narrow" panose="020B0606020202030204" pitchFamily="34" charset="0"/>
            <a:ea typeface="+mn-ea"/>
            <a:cs typeface="Calibri"/>
          </a:endParaRPr>
        </a:p>
      </xdr:txBody>
    </xdr:sp>
    <xdr:clientData/>
  </xdr:oneCellAnchor>
</xdr:wsDr>
</file>

<file path=xl/drawings/drawing9.xml><?xml version="1.0" encoding="utf-8"?>
<c:userShapes xmlns:c="http://schemas.openxmlformats.org/drawingml/2006/chart">
  <cdr:relSizeAnchor xmlns:cdr="http://schemas.openxmlformats.org/drawingml/2006/chartDrawing">
    <cdr:from>
      <cdr:x>0.40872</cdr:x>
      <cdr:y>0.44898</cdr:y>
    </cdr:from>
    <cdr:to>
      <cdr:x>0.624</cdr:x>
      <cdr:y>0.5455</cdr:y>
    </cdr:to>
    <cdr:sp macro="" textlink="[4]PLANES!$F$4">
      <cdr:nvSpPr>
        <cdr:cNvPr id="8" name="Retraso 4"/>
        <cdr:cNvSpPr/>
      </cdr:nvSpPr>
      <cdr:spPr>
        <a:xfrm xmlns:a="http://schemas.openxmlformats.org/drawingml/2006/main" rot="16200000">
          <a:off x="3510313" y="2012877"/>
          <a:ext cx="543766" cy="1576867"/>
        </a:xfrm>
        <a:prstGeom xmlns:a="http://schemas.openxmlformats.org/drawingml/2006/main" prst="flowChartDelay">
          <a:avLst/>
        </a:prstGeom>
        <a:gradFill xmlns:a="http://schemas.openxmlformats.org/drawingml/2006/main" flip="none" rotWithShape="1">
          <a:gsLst>
            <a:gs pos="44000">
              <a:schemeClr val="tx1"/>
            </a:gs>
            <a:gs pos="100000">
              <a:schemeClr val="accent1">
                <a:lumMod val="30000"/>
                <a:lumOff val="70000"/>
              </a:schemeClr>
            </a:gs>
          </a:gsLst>
          <a:lin ang="0" scaled="1"/>
          <a:tileRect/>
        </a:gra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vert="vert" anchor="ctr" anchorCtr="1"/>
        <a:lstStyle xmlns:a="http://schemas.openxmlformats.org/drawingml/2006/main"/>
        <a:p xmlns:a="http://schemas.openxmlformats.org/drawingml/2006/main">
          <a:fld id="{618A36CC-B24F-4A1E-B021-1EE38DD75E58}" type="TxLink">
            <a:rPr lang="en-US" sz="2400" b="1" i="0" u="none" strike="noStrike">
              <a:solidFill>
                <a:schemeClr val="bg1"/>
              </a:solidFill>
              <a:latin typeface="Arial"/>
              <a:cs typeface="Arial"/>
            </a:rPr>
            <a:pPr/>
            <a:t>#¡REF!</a:t>
          </a:fld>
          <a:endParaRPr lang="es-CO" sz="4400" b="1">
            <a:solidFill>
              <a:schemeClr val="bg1"/>
            </a:solidFill>
          </a:endParaRPr>
        </a:p>
      </cdr:txBody>
    </cdr:sp>
  </cdr:relSizeAnchor>
  <cdr:relSizeAnchor xmlns:cdr="http://schemas.openxmlformats.org/drawingml/2006/chartDrawing">
    <cdr:from>
      <cdr:x>0.366</cdr:x>
      <cdr:y>0.57047</cdr:y>
    </cdr:from>
    <cdr:to>
      <cdr:x>0.49963</cdr:x>
      <cdr:y>0.74305</cdr:y>
    </cdr:to>
    <cdr:sp macro="" textlink="">
      <cdr:nvSpPr>
        <cdr:cNvPr id="3" name="CuadroTexto 1">
          <a:extLst xmlns:a="http://schemas.openxmlformats.org/drawingml/2006/main">
            <a:ext uri="{FF2B5EF4-FFF2-40B4-BE49-F238E27FC236}">
              <a16:creationId xmlns:a16="http://schemas.microsoft.com/office/drawing/2014/main" id="{D4254660-9F94-4489-A3F3-1A5568C7F478}"/>
            </a:ext>
          </a:extLst>
        </cdr:cNvPr>
        <cdr:cNvSpPr txBox="1"/>
      </cdr:nvSpPr>
      <cdr:spPr>
        <a:xfrm xmlns:a="http://schemas.openxmlformats.org/drawingml/2006/main">
          <a:off x="2504440" y="3022600"/>
          <a:ext cx="914400" cy="9144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O" sz="1800" b="1">
              <a:solidFill>
                <a:schemeClr val="bg1"/>
              </a:solidFill>
              <a:latin typeface="Century Gothic" panose="020B0502020202020204" pitchFamily="34" charset="0"/>
            </a:rPr>
            <a:t>PLAN DE </a:t>
          </a:r>
          <a:r>
            <a:rPr lang="es-CO" sz="1800" b="1" baseline="0">
              <a:solidFill>
                <a:schemeClr val="bg1"/>
              </a:solidFill>
              <a:latin typeface="Century Gothic" panose="020B0502020202020204" pitchFamily="34" charset="0"/>
            </a:rPr>
            <a:t>GESTIÓN</a:t>
          </a:r>
          <a:endParaRPr lang="es-CO" sz="1100" b="1">
            <a:solidFill>
              <a:schemeClr val="bg1"/>
            </a:solidFill>
            <a:latin typeface="Century Gothic" panose="020B0502020202020204" pitchFamily="34" charset="0"/>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ennyGoGu\Desktop\SEC%20TEMPORAL\CUENTA%20DE%20CORBO%20MARZO\Matriz%20Indicadores%20-%202022%20Febrer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ccepeda\Desktop\BCKUP\SECRETAR&#205;A%20JUR&#205;DICA%20escritorio\PROYECTOS%20DE%20INVERSI&#211;N\SEGUIMIENTOS%20PRESUPUESTALES\Seguimiento%20presupuestal\seguimiento%20presupuestal%202018\seguimiento%20enero%20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jccepeda\Desktop\BCKUP\SECRETAR&#205;A%20JUR&#205;DICA%20escritorio\PROYECTOS%20DE%20INVERSI&#211;N\SEGUIMIENTOS%20PRESUPUESTALES\Seguimiento%20presupuestal\datos%20graficas.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PLANE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JennyGoGu\Downloads\Matriz%20Indicadores%20-%202022%20Febrer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RO"/>
      <sheetName val="INICIO"/>
      <sheetName val="CMI"/>
      <sheetName val="CMI VIGENCIA"/>
      <sheetName val="Gráfico1"/>
      <sheetName val="matriz"/>
      <sheetName val="POR PROCESO"/>
      <sheetName val="FICHA TECNICA"/>
      <sheetName val="CONSULTA INDICADOR"/>
      <sheetName val="TD P DESARROLLO"/>
      <sheetName val="POA 2018"/>
      <sheetName val="ESTADÍSTICAS"/>
      <sheetName val="POA 2019"/>
      <sheetName val="PLAN ESTRATÉGICO"/>
      <sheetName val="Hoja3"/>
      <sheetName val="PLAN DE GESTIÓN"/>
      <sheetName val="PLAN DE DESARROLLO"/>
      <sheetName val="CONVEN"/>
      <sheetName val="PLANES"/>
      <sheetName val="IMPERATIVOS"/>
      <sheetName val="MEDICIÓN POR PROCESO"/>
      <sheetName val="Gráfico2"/>
    </sheetNames>
    <sheetDataSet>
      <sheetData sheetId="0"/>
      <sheetData sheetId="1"/>
      <sheetData sheetId="2"/>
      <sheetData sheetId="3"/>
      <sheetData sheetId="4" refreshError="1"/>
      <sheetData sheetId="5">
        <row r="3">
          <cell r="E3" t="str">
            <v>PORCENTAJE DE CUMPLIMIENTO DEL PLAN DE COMUNICACIONES DE LA SECRETARÍA JURÍDICA DISTRITAL</v>
          </cell>
          <cell r="F3" t="str">
            <v>DESPACHO</v>
          </cell>
          <cell r="G3" t="str">
            <v>REALIZAR EL SEGUIMIENTO AL PLAN DE COMUNICACIONES DE LA SECRETARÍA JURÍDICA DISTRITAL</v>
          </cell>
          <cell r="H3" t="str">
            <v>POSICIONAMIENTO COMO ENTE RECTOR</v>
          </cell>
          <cell r="I3" t="str">
            <v>GESTIÓN DE LAS COMUNICACIONES</v>
          </cell>
          <cell r="J3" t="str">
            <v>ACTIVO</v>
          </cell>
          <cell r="K3" t="str">
            <v>PLAN DE GESTIÓN</v>
          </cell>
          <cell r="L3" t="str">
            <v>PROCESOS</v>
          </cell>
          <cell r="M3"/>
          <cell r="N3"/>
          <cell r="O3" t="str">
            <v>(Total de actividades del plan de comunicaciones ejecutadas en el período) /  (Total de acciones programadas en el plan de comunicaciones en el período) *100</v>
          </cell>
          <cell r="P3" t="str">
            <v>Porcentaje de avance</v>
          </cell>
          <cell r="Q3" t="str">
            <v>Total de actividades del plan de comunicaciones ejecutadas en el período</v>
          </cell>
          <cell r="R3" t="str">
            <v>Total de acciones programadas en el plan de comunicaciones en el período</v>
          </cell>
          <cell r="S3" t="str">
            <v>Corresponde al total de acciones ejecutadas en el período de medición</v>
          </cell>
          <cell r="T3" t="str">
            <v>Corresponde al total de acciones programadas en el período de medición</v>
          </cell>
          <cell r="U3" t="str">
            <v>Plan de comunicaciones
Informes de gestión</v>
          </cell>
          <cell r="V3" t="str">
            <v>Plan de comunicaciones
Informes de gestión</v>
          </cell>
          <cell r="W3" t="str">
            <v>ND</v>
          </cell>
          <cell r="X3" t="str">
            <v>ND</v>
          </cell>
          <cell r="Y3" t="str">
            <v>CONSTANTE</v>
          </cell>
          <cell r="Z3" t="str">
            <v>TRIMESTRAL</v>
          </cell>
          <cell r="AA3" t="str">
            <v>EFICACIA</v>
          </cell>
          <cell r="AB3" t="str">
            <v>PROFESIONAL UNIVERSITARIO GRADO 18</v>
          </cell>
          <cell r="AC3" t="str">
            <v>PROFESIONAL UNIVERSITARIO GRADO 18</v>
          </cell>
          <cell r="AD3" t="str">
            <v>ASESOR (A) DESPACHO</v>
          </cell>
          <cell r="AE3">
            <v>100</v>
          </cell>
          <cell r="AF3">
            <v>100</v>
          </cell>
          <cell r="AG3">
            <v>100</v>
          </cell>
          <cell r="AH3">
            <v>100</v>
          </cell>
          <cell r="AI3">
            <v>100</v>
          </cell>
          <cell r="AJ3">
            <v>100</v>
          </cell>
          <cell r="AK3">
            <v>100</v>
          </cell>
          <cell r="AL3">
            <v>0</v>
          </cell>
          <cell r="AM3"/>
          <cell r="AN3"/>
          <cell r="AO3">
            <v>0</v>
          </cell>
          <cell r="AP3">
            <v>0</v>
          </cell>
          <cell r="AQ3">
            <v>19</v>
          </cell>
          <cell r="AR3">
            <v>0</v>
          </cell>
          <cell r="AS3">
            <v>0</v>
          </cell>
          <cell r="AT3">
            <v>21</v>
          </cell>
          <cell r="AU3">
            <v>0</v>
          </cell>
          <cell r="AV3">
            <v>0</v>
          </cell>
          <cell r="AW3">
            <v>25</v>
          </cell>
          <cell r="AX3">
            <v>0</v>
          </cell>
          <cell r="AY3">
            <v>0</v>
          </cell>
          <cell r="AZ3">
            <v>35</v>
          </cell>
          <cell r="BA3"/>
          <cell r="BB3"/>
          <cell r="BC3"/>
          <cell r="BD3"/>
          <cell r="BE3"/>
          <cell r="BF3"/>
          <cell r="BG3"/>
          <cell r="BH3"/>
          <cell r="BI3"/>
          <cell r="BJ3"/>
          <cell r="BK3"/>
          <cell r="BL3"/>
          <cell r="BM3"/>
          <cell r="BN3"/>
          <cell r="BO3"/>
          <cell r="BP3"/>
          <cell r="BQ3"/>
          <cell r="BR3"/>
          <cell r="BS3"/>
          <cell r="BT3"/>
          <cell r="BU3"/>
          <cell r="BV3"/>
          <cell r="BW3"/>
          <cell r="BX3"/>
        </row>
        <row r="4">
          <cell r="E4" t="str">
            <v>Porcentaje de actividades del Plan Institucional de Capacitaciones ejecutadas</v>
          </cell>
          <cell r="F4" t="str">
            <v>DIRECCIÓN DE GESTIÓN CORPORATIVA</v>
          </cell>
          <cell r="G4" t="str">
            <v>Medir la ejecución de las actividades del Plan Institucional de Capacitación, mediante el seguimiento continuo al cronograma establecido, con el propósito de mejorar la calidad de la gestión institucional.</v>
          </cell>
          <cell r="H4" t="str">
            <v>OPTIMIZACIÓN DE PROCESOS</v>
          </cell>
          <cell r="I4" t="str">
            <v>GESTIÓN DEL TALENTO HUMANO</v>
          </cell>
          <cell r="J4" t="str">
            <v>ACTIVO</v>
          </cell>
          <cell r="K4" t="str">
            <v>PROCESOS</v>
          </cell>
          <cell r="L4" t="str">
            <v>PLAN DE GESTIÓN</v>
          </cell>
          <cell r="M4"/>
          <cell r="N4"/>
          <cell r="O4" t="str">
            <v>(Numero de actividades ejecutadas /total de actividades programadas)*100</v>
          </cell>
          <cell r="P4" t="str">
            <v>Numero de actividades</v>
          </cell>
          <cell r="Q4" t="str">
            <v>Numero de actividades ejecutadas</v>
          </cell>
          <cell r="R4" t="str">
            <v>Total de actividades programadas</v>
          </cell>
          <cell r="S4" t="str">
            <v>Número de actividades del Plan Institucional de Capacitaciones ejecutadas dentro del trimestre a evaluar</v>
          </cell>
          <cell r="T4" t="str">
            <v>Total de actividades programadas en el Plan Institucional de Capacitaciones durante el trimestre a evaluar</v>
          </cell>
          <cell r="U4" t="str">
            <v>Matriz de seguimiento del cronograma establecido</v>
          </cell>
          <cell r="V4" t="str">
            <v>Plan Institucional de Capacitación</v>
          </cell>
          <cell r="W4" t="str">
            <v>N/A</v>
          </cell>
          <cell r="X4" t="str">
            <v>N/A</v>
          </cell>
          <cell r="Y4" t="str">
            <v>CONSTANTE</v>
          </cell>
          <cell r="Z4" t="str">
            <v>TRIMESTRAL</v>
          </cell>
          <cell r="AA4" t="str">
            <v>EFICACIA</v>
          </cell>
          <cell r="AB4" t="str">
            <v>CONTRATISTA - Jesica Alejandra Sierra Rabia</v>
          </cell>
          <cell r="AC4" t="str">
            <v>CONTRATISTA - José Francisco Arias Pachón</v>
          </cell>
          <cell r="AD4" t="str">
            <v>Director(a) de Gestión Corporativa</v>
          </cell>
          <cell r="AE4"/>
          <cell r="AF4">
            <v>100</v>
          </cell>
          <cell r="AG4">
            <v>100</v>
          </cell>
          <cell r="AH4">
            <v>100</v>
          </cell>
          <cell r="AI4">
            <v>100</v>
          </cell>
          <cell r="AJ4"/>
          <cell r="AK4">
            <v>100</v>
          </cell>
          <cell r="AL4" t="str">
            <v>ND</v>
          </cell>
          <cell r="AM4"/>
          <cell r="AN4"/>
          <cell r="AO4">
            <v>0</v>
          </cell>
          <cell r="AP4">
            <v>0</v>
          </cell>
          <cell r="AQ4">
            <v>100</v>
          </cell>
          <cell r="AR4">
            <v>0</v>
          </cell>
          <cell r="AS4">
            <v>0</v>
          </cell>
          <cell r="AT4">
            <v>100</v>
          </cell>
          <cell r="AU4">
            <v>0</v>
          </cell>
          <cell r="AV4">
            <v>0</v>
          </cell>
          <cell r="AW4">
            <v>100</v>
          </cell>
          <cell r="AX4">
            <v>0</v>
          </cell>
          <cell r="AY4">
            <v>0</v>
          </cell>
          <cell r="AZ4">
            <v>100</v>
          </cell>
          <cell r="BA4"/>
          <cell r="BB4"/>
          <cell r="BC4"/>
          <cell r="BD4"/>
          <cell r="BE4"/>
          <cell r="BF4"/>
          <cell r="BG4"/>
          <cell r="BH4"/>
          <cell r="BI4"/>
          <cell r="BJ4"/>
          <cell r="BK4"/>
          <cell r="BL4"/>
          <cell r="BM4"/>
          <cell r="BN4"/>
          <cell r="BO4"/>
          <cell r="BP4"/>
          <cell r="BQ4"/>
          <cell r="BR4"/>
          <cell r="BS4"/>
          <cell r="BT4"/>
          <cell r="BU4"/>
          <cell r="BV4"/>
          <cell r="BW4"/>
          <cell r="BX4"/>
        </row>
        <row r="5">
          <cell r="E5" t="str">
            <v>PORCENTAJE DE CONTRATOS EN EJECUCIÓN  PUBLICADOS EN SECOP II</v>
          </cell>
          <cell r="F5" t="str">
            <v>DIRECCIÓN DE GESTIÓN CORPORATIVA</v>
          </cell>
          <cell r="G5" t="str">
            <v>Publicar en la plataforma SECOP II los contratos de prestación de servicios profesionales y/o apoyo a la gestión con los requisitos de perfeccionamiento suscritos por la entidad en cumplimiento de la normatividad contractual vigente.</v>
          </cell>
          <cell r="H5" t="str">
            <v>OPTIMIZACIÓN DE PROCESOS</v>
          </cell>
          <cell r="I5" t="str">
            <v>GESTIÓN CONTRACTUAL</v>
          </cell>
          <cell r="J5" t="str">
            <v>ACTIVO</v>
          </cell>
          <cell r="K5" t="str">
            <v>PLAN DE GESTIÓN</v>
          </cell>
          <cell r="L5" t="str">
            <v>PROCESOS</v>
          </cell>
          <cell r="M5"/>
          <cell r="N5"/>
          <cell r="O5" t="str">
            <v>(Contratos de prestación de servicios profesionales y/o apoyo a la gestión con requisitos de perfeccionamiento cumplidos/ contratos de prestación de servicios profesionales y/o apoyo a la gestión publicados en SECOP II)*100</v>
          </cell>
          <cell r="P5" t="str">
            <v>Contratos de prestación de servicios profesionales y/o apoyo a la gestión</v>
          </cell>
          <cell r="Q5" t="str">
            <v>Contratos de prestación de servicios profesionales y/o apoyo a la gestión con requisitos de perfeccionamiento suscritos y publicados en SECOP II</v>
          </cell>
          <cell r="R5" t="str">
            <v>Contratos de prestación de servicios profesionales y/o apoyo a la gestión publicados en SECOP II</v>
          </cell>
          <cell r="S5" t="str">
            <v>Contratos con requisitos de perfeccionamiento suscritos y cuyos documentos se han publicado en su totalidad</v>
          </cell>
          <cell r="T5" t="str">
            <v>Corresponde a la cantidad de contratos de prestación de servicios profesionales y/o apoyo a la gestión que en el período llegan hasta la etapa de suscripción de la minuta o documento de clausulado</v>
          </cell>
          <cell r="U5" t="str">
            <v>SECOP II</v>
          </cell>
          <cell r="V5" t="str">
            <v>Reporte de contratos suscritos en el período</v>
          </cell>
          <cell r="W5">
            <v>1</v>
          </cell>
          <cell r="X5" t="str">
            <v>POAI 2021</v>
          </cell>
          <cell r="Y5" t="str">
            <v>CONSTANTE</v>
          </cell>
          <cell r="Z5" t="str">
            <v>TRIMESTRAL</v>
          </cell>
          <cell r="AA5" t="str">
            <v>EFICACIA</v>
          </cell>
          <cell r="AB5" t="str">
            <v>CONTRATISTA - Jesica Alejandra Sierra Rabia</v>
          </cell>
          <cell r="AC5" t="str">
            <v>CONTRATISTA - José Francisco Arias Pachón</v>
          </cell>
          <cell r="AD5" t="str">
            <v>Director(a) de Gestión Corporativa</v>
          </cell>
          <cell r="AE5"/>
          <cell r="AF5">
            <v>100</v>
          </cell>
          <cell r="AG5">
            <v>100</v>
          </cell>
          <cell r="AH5">
            <v>100</v>
          </cell>
          <cell r="AI5">
            <v>100</v>
          </cell>
          <cell r="AJ5"/>
          <cell r="AK5">
            <v>100</v>
          </cell>
          <cell r="AL5" t="str">
            <v>ND</v>
          </cell>
          <cell r="AM5"/>
          <cell r="AN5"/>
          <cell r="AO5">
            <v>0</v>
          </cell>
          <cell r="AP5">
            <v>0</v>
          </cell>
          <cell r="AQ5">
            <v>100</v>
          </cell>
          <cell r="AR5">
            <v>0</v>
          </cell>
          <cell r="AS5">
            <v>0</v>
          </cell>
          <cell r="AT5">
            <v>100</v>
          </cell>
          <cell r="AU5">
            <v>0</v>
          </cell>
          <cell r="AV5">
            <v>0</v>
          </cell>
          <cell r="AW5">
            <v>100</v>
          </cell>
          <cell r="AX5">
            <v>0</v>
          </cell>
          <cell r="AY5">
            <v>0</v>
          </cell>
          <cell r="AZ5">
            <v>100</v>
          </cell>
          <cell r="BA5"/>
          <cell r="BB5"/>
          <cell r="BC5"/>
          <cell r="BD5"/>
          <cell r="BE5"/>
          <cell r="BF5"/>
          <cell r="BG5"/>
          <cell r="BH5"/>
          <cell r="BI5"/>
          <cell r="BJ5"/>
          <cell r="BK5"/>
          <cell r="BL5"/>
          <cell r="BM5"/>
          <cell r="BN5"/>
          <cell r="BO5"/>
          <cell r="BP5"/>
          <cell r="BQ5"/>
          <cell r="BR5"/>
          <cell r="BS5"/>
          <cell r="BT5"/>
          <cell r="BU5"/>
          <cell r="BV5"/>
          <cell r="BW5"/>
          <cell r="BX5"/>
        </row>
        <row r="6">
          <cell r="E6" t="str">
            <v>Porcentaje de órdenes de pago publicadas en SECOP II</v>
          </cell>
          <cell r="F6" t="str">
            <v>DIRECCIÓN DE GESTIÓN CORPORATIVA</v>
          </cell>
          <cell r="G6" t="str">
            <v>Publicar las órdenes de pago de los contratos suscritos por la entidad en SECOP II, para el acceso a la información de las partes interesadas.</v>
          </cell>
          <cell r="H6" t="str">
            <v>OPTIMIZACIÓN DE PROCESOS</v>
          </cell>
          <cell r="I6" t="str">
            <v>GESTIÓN CONTRACTUAL</v>
          </cell>
          <cell r="J6" t="str">
            <v>ACTIVO</v>
          </cell>
          <cell r="K6" t="str">
            <v>PLAN DE GESTIÓN</v>
          </cell>
          <cell r="L6" t="str">
            <v>PROCESOS</v>
          </cell>
          <cell r="M6"/>
          <cell r="N6"/>
          <cell r="O6" t="str">
            <v>(Número de órdenes de pago publicadas en SECOP II/ número de trámites de pago efectivos de contratos suscritos en SECOP II radicados durante el periodo)*100</v>
          </cell>
          <cell r="P6" t="str">
            <v>Órdenes de pago publicadas</v>
          </cell>
          <cell r="Q6" t="str">
            <v>Órdenes de pago publicadas en SECOP II</v>
          </cell>
          <cell r="R6" t="str">
            <v>Trámites de pago efectivos de contratos suscritos en SECOP II radicados durante el periodo</v>
          </cell>
          <cell r="S6" t="str">
            <v xml:space="preserve">Corresponde a las ordenes de pago publicadas en SECOP II en el numeral 7 denominado Plan de Pagos de cada uno de los contratos </v>
          </cell>
          <cell r="T6" t="str">
            <v>Corresponde a la cantidad de tramites de pago efectivos de contratos suscritos en SECOP II, radicados durante el trimestre a reportar</v>
          </cell>
          <cell r="U6" t="str">
            <v>SECOP II</v>
          </cell>
          <cell r="V6" t="str">
            <v>Base de datos de trámites radicados durante el trimestre</v>
          </cell>
          <cell r="W6">
            <v>1</v>
          </cell>
          <cell r="X6" t="str">
            <v>POAI 2021</v>
          </cell>
          <cell r="Y6" t="str">
            <v>CONSTANTE</v>
          </cell>
          <cell r="Z6" t="str">
            <v>TRIMESTRAL</v>
          </cell>
          <cell r="AA6" t="str">
            <v>EFICACIA</v>
          </cell>
          <cell r="AB6" t="str">
            <v>CONTRATISTA - Jesica Alejandra Sierra Rabia</v>
          </cell>
          <cell r="AC6" t="str">
            <v>CONTRATISTA - José Francisco Arias Pachón</v>
          </cell>
          <cell r="AD6" t="str">
            <v>Director(a) de Gestión Corporativa</v>
          </cell>
          <cell r="AE6"/>
          <cell r="AF6">
            <v>100</v>
          </cell>
          <cell r="AG6">
            <v>100</v>
          </cell>
          <cell r="AH6">
            <v>100</v>
          </cell>
          <cell r="AI6">
            <v>100</v>
          </cell>
          <cell r="AJ6"/>
          <cell r="AK6">
            <v>100</v>
          </cell>
          <cell r="AL6" t="str">
            <v>ND</v>
          </cell>
          <cell r="AM6"/>
          <cell r="AN6"/>
          <cell r="AO6">
            <v>0</v>
          </cell>
          <cell r="AP6">
            <v>0</v>
          </cell>
          <cell r="AQ6">
            <v>100</v>
          </cell>
          <cell r="AR6">
            <v>0</v>
          </cell>
          <cell r="AS6">
            <v>0</v>
          </cell>
          <cell r="AT6">
            <v>100</v>
          </cell>
          <cell r="AU6">
            <v>0</v>
          </cell>
          <cell r="AV6">
            <v>0</v>
          </cell>
          <cell r="AW6">
            <v>100</v>
          </cell>
          <cell r="AX6">
            <v>0</v>
          </cell>
          <cell r="AY6">
            <v>0</v>
          </cell>
          <cell r="AZ6">
            <v>100</v>
          </cell>
          <cell r="BA6"/>
          <cell r="BB6"/>
          <cell r="BC6"/>
          <cell r="BD6"/>
          <cell r="BE6"/>
          <cell r="BF6"/>
          <cell r="BG6"/>
          <cell r="BH6"/>
          <cell r="BI6"/>
          <cell r="BJ6"/>
          <cell r="BK6"/>
          <cell r="BL6"/>
          <cell r="BM6"/>
          <cell r="BN6"/>
          <cell r="BO6"/>
          <cell r="BP6"/>
          <cell r="BQ6"/>
          <cell r="BR6"/>
          <cell r="BS6"/>
          <cell r="BT6"/>
          <cell r="BU6"/>
          <cell r="BV6"/>
          <cell r="BW6"/>
          <cell r="BX6"/>
        </row>
        <row r="7">
          <cell r="E7" t="str">
            <v>Porcentaje de actividades del Plan de Bienestar e Incentivos ejecutadas</v>
          </cell>
          <cell r="F7" t="str">
            <v>DIRECCIÓN DE GESTIÓN CORPORATIVA</v>
          </cell>
          <cell r="G7" t="str">
            <v>Medir la ejecución de las actividades del Plan de Bienestar e Incentivos, mediante el seguimiento continuo al cronograma establecido, con el propósito de mejorar la calidad de la gestión institucional.</v>
          </cell>
          <cell r="H7" t="str">
            <v>OPTIMIZACIÓN DE PROCESOS</v>
          </cell>
          <cell r="I7" t="str">
            <v>GESTIÓN DEL TALENTO HUMANO</v>
          </cell>
          <cell r="J7" t="str">
            <v>ACTIVO</v>
          </cell>
          <cell r="K7" t="str">
            <v>PLAN DE GESTIÓN</v>
          </cell>
          <cell r="L7" t="str">
            <v>PROCESOS</v>
          </cell>
          <cell r="M7"/>
          <cell r="N7"/>
          <cell r="O7" t="str">
            <v>(Numero de actividades ejecutadas /total de actividades programadas)*100</v>
          </cell>
          <cell r="P7" t="str">
            <v>Numero de actividades</v>
          </cell>
          <cell r="Q7" t="str">
            <v>Numero de actividades ejecutadas</v>
          </cell>
          <cell r="R7" t="str">
            <v>Total de actividades programadas</v>
          </cell>
          <cell r="S7" t="str">
            <v>Número de actividades del Plan de Bienestar e Incentivos ejecutadas dentro del trimestre a evaluar</v>
          </cell>
          <cell r="T7" t="str">
            <v>Total de actividades programadas en el Plan de Bienestar e Incentivos durante el trimestre a evaluar</v>
          </cell>
          <cell r="U7" t="str">
            <v>Matriz de seguimiento del cronograma establecido</v>
          </cell>
          <cell r="V7" t="str">
            <v>Plan de Bienestar e Incentivos</v>
          </cell>
          <cell r="W7" t="str">
            <v>N/A</v>
          </cell>
          <cell r="X7" t="str">
            <v>N/A</v>
          </cell>
          <cell r="Y7" t="str">
            <v>CONSTANTE</v>
          </cell>
          <cell r="Z7" t="str">
            <v>TRIMESTRAL</v>
          </cell>
          <cell r="AA7" t="str">
            <v>EFICACIA</v>
          </cell>
          <cell r="AB7" t="str">
            <v>CONTRATISTA - Jesica Alejandra Sierra Rabia</v>
          </cell>
          <cell r="AC7" t="str">
            <v>CONTRATISTA - José Francisco Arias Pachón</v>
          </cell>
          <cell r="AD7" t="str">
            <v>Director(a) de Gestión Corporativa</v>
          </cell>
          <cell r="AE7"/>
          <cell r="AF7">
            <v>100</v>
          </cell>
          <cell r="AG7">
            <v>100</v>
          </cell>
          <cell r="AH7">
            <v>100</v>
          </cell>
          <cell r="AI7">
            <v>100</v>
          </cell>
          <cell r="AJ7"/>
          <cell r="AK7">
            <v>100</v>
          </cell>
          <cell r="AL7" t="str">
            <v>ND</v>
          </cell>
          <cell r="AM7"/>
          <cell r="AN7"/>
          <cell r="AO7">
            <v>0</v>
          </cell>
          <cell r="AP7">
            <v>0</v>
          </cell>
          <cell r="AQ7">
            <v>100</v>
          </cell>
          <cell r="AR7">
            <v>0</v>
          </cell>
          <cell r="AS7">
            <v>0</v>
          </cell>
          <cell r="AT7">
            <v>100</v>
          </cell>
          <cell r="AU7">
            <v>0</v>
          </cell>
          <cell r="AV7">
            <v>0</v>
          </cell>
          <cell r="AW7">
            <v>100</v>
          </cell>
          <cell r="AX7">
            <v>0</v>
          </cell>
          <cell r="AY7">
            <v>0</v>
          </cell>
          <cell r="AZ7">
            <v>100</v>
          </cell>
          <cell r="BA7"/>
          <cell r="BB7"/>
          <cell r="BC7"/>
          <cell r="BD7"/>
          <cell r="BE7"/>
          <cell r="BF7"/>
          <cell r="BG7"/>
          <cell r="BH7"/>
          <cell r="BI7"/>
          <cell r="BJ7"/>
          <cell r="BK7"/>
          <cell r="BL7"/>
          <cell r="BM7"/>
          <cell r="BN7"/>
          <cell r="BO7"/>
          <cell r="BP7"/>
          <cell r="BQ7"/>
          <cell r="BR7"/>
          <cell r="BS7"/>
          <cell r="BT7"/>
          <cell r="BU7"/>
          <cell r="BV7"/>
          <cell r="BW7"/>
          <cell r="BX7"/>
        </row>
        <row r="8">
          <cell r="E8" t="str">
            <v>Porcentaje de actividades del Plan Institucional de Capacitaciones con medición de impacto</v>
          </cell>
          <cell r="F8" t="str">
            <v>DIRECCIÓN DE GESTIÓN CORPORATIVA</v>
          </cell>
          <cell r="G8" t="str">
            <v>Medir la ejecución de las actividades con medición de impacto del Plan Institucional de Capacitación, mediante el seguimiento continuo al cronograma establecido, con el propósito de mejorar la calidad de la gestión institucional.</v>
          </cell>
          <cell r="H8" t="str">
            <v>OPTIMIZACIÓN DE PROCESOS</v>
          </cell>
          <cell r="I8" t="str">
            <v>GESTIÓN DEL TALENTO HUMANO</v>
          </cell>
          <cell r="J8" t="str">
            <v>ACTIVO</v>
          </cell>
          <cell r="K8" t="str">
            <v>PLAN DE GESTIÓN</v>
          </cell>
          <cell r="L8" t="str">
            <v>PROCESOS</v>
          </cell>
          <cell r="M8"/>
          <cell r="N8"/>
          <cell r="O8" t="str">
            <v>(Numero de actividades con medición de impacto/ total de actividades programadas)*100</v>
          </cell>
          <cell r="P8" t="str">
            <v>Numero de actividades</v>
          </cell>
          <cell r="Q8" t="str">
            <v>Numero de actividades con medición de impacto</v>
          </cell>
          <cell r="R8" t="str">
            <v>Total de actividades programadas</v>
          </cell>
          <cell r="S8" t="str">
            <v>Número de actividades del Plan Institucional de Capacitaciones a las que se le aplico la medición del impacto durante el trimestre a evaluar</v>
          </cell>
          <cell r="T8" t="str">
            <v>Total de actividades programadas en el Plan Institucional de Capacitaciones durante el trimestre a evaluar</v>
          </cell>
          <cell r="U8" t="str">
            <v>Matriz de seguimiento del cronograma establecido</v>
          </cell>
          <cell r="V8" t="str">
            <v>Plan Institucional de Capacitación</v>
          </cell>
          <cell r="W8" t="str">
            <v>N/A</v>
          </cell>
          <cell r="X8" t="str">
            <v>N/A</v>
          </cell>
          <cell r="Y8" t="str">
            <v>CONSTANTE</v>
          </cell>
          <cell r="Z8" t="str">
            <v>Semestral</v>
          </cell>
          <cell r="AA8" t="str">
            <v>EFICACIA</v>
          </cell>
          <cell r="AB8" t="str">
            <v>CONTRATISTA - Jesica Alejandra Sierra Rabia</v>
          </cell>
          <cell r="AC8" t="str">
            <v>CONTRATISTA - José Francisco Arias Pachón</v>
          </cell>
          <cell r="AD8" t="str">
            <v>Director(a) de Gestión Corporativa</v>
          </cell>
          <cell r="AE8"/>
          <cell r="AF8">
            <v>100</v>
          </cell>
          <cell r="AG8">
            <v>100</v>
          </cell>
          <cell r="AH8">
            <v>100</v>
          </cell>
          <cell r="AI8">
            <v>100</v>
          </cell>
          <cell r="AJ8"/>
          <cell r="AK8"/>
          <cell r="AL8" t="str">
            <v>ND</v>
          </cell>
          <cell r="AM8"/>
          <cell r="AN8"/>
          <cell r="AO8">
            <v>0</v>
          </cell>
          <cell r="AP8">
            <v>0</v>
          </cell>
          <cell r="AQ8">
            <v>0</v>
          </cell>
          <cell r="AR8">
            <v>0</v>
          </cell>
          <cell r="AS8">
            <v>0</v>
          </cell>
          <cell r="AT8">
            <v>100</v>
          </cell>
          <cell r="AU8">
            <v>0</v>
          </cell>
          <cell r="AV8">
            <v>0</v>
          </cell>
          <cell r="AW8">
            <v>0</v>
          </cell>
          <cell r="AX8">
            <v>0</v>
          </cell>
          <cell r="AY8">
            <v>0</v>
          </cell>
          <cell r="AZ8">
            <v>100</v>
          </cell>
          <cell r="BA8"/>
          <cell r="BB8"/>
          <cell r="BC8"/>
          <cell r="BD8"/>
          <cell r="BE8"/>
          <cell r="BF8"/>
          <cell r="BG8"/>
          <cell r="BH8"/>
          <cell r="BI8"/>
          <cell r="BJ8"/>
          <cell r="BK8"/>
          <cell r="BL8"/>
          <cell r="BM8"/>
          <cell r="BN8"/>
          <cell r="BO8"/>
          <cell r="BP8"/>
          <cell r="BQ8"/>
          <cell r="BR8"/>
          <cell r="BS8"/>
          <cell r="BT8"/>
          <cell r="BU8"/>
          <cell r="BV8"/>
          <cell r="BW8"/>
          <cell r="BX8"/>
        </row>
        <row r="9">
          <cell r="E9" t="str">
            <v>Porcentaje de funcionarios con Declaraciones de Conflictos de Interés presentada</v>
          </cell>
          <cell r="F9" t="str">
            <v>DIRECCIÓN DE GESTIÓN CORPORATIVA</v>
          </cell>
          <cell r="G9" t="str">
            <v>Realizar seguimiento a la entrega de la declaración anual de conflictos de interés por parte de los funcionarios de la Secretaría Jurídica Distrital reportada en el aplicativo SIDEAP, con el propósito de dar cumplimiento a los lineamientos de MIPG.</v>
          </cell>
          <cell r="H9" t="str">
            <v>OPTIMIZACIÓN DE PROCESOS</v>
          </cell>
          <cell r="I9" t="str">
            <v>GESTIÓN DEL TALENTO HUMANO</v>
          </cell>
          <cell r="J9" t="str">
            <v>ACTIVO</v>
          </cell>
          <cell r="K9" t="str">
            <v>PLAN DE GESTIÓN</v>
          </cell>
          <cell r="L9" t="str">
            <v>PROCESOS</v>
          </cell>
          <cell r="M9"/>
          <cell r="N9"/>
          <cell r="O9" t="str">
            <v>(Número de Declaraciones de conflicto de interes entregadas/total de funcionarios en planta)*100</v>
          </cell>
          <cell r="P9" t="str">
            <v>Número de declaración de conflicto de interés</v>
          </cell>
          <cell r="Q9" t="str">
            <v>Número de Declaraciones de conflicto de interés entregadas</v>
          </cell>
          <cell r="R9" t="str">
            <v>Total de Funcionarios en planta</v>
          </cell>
          <cell r="S9" t="str">
            <v>Declaraciones de conflicto de interés registrada por los funcionarios de la SJD en el aplicativo SIDEAP del DASCD y reportadas a la Dirección de Gestión Corporativa</v>
          </cell>
          <cell r="T9" t="str">
            <v>Total de funcionarios vinculados en la Entidad y pertenecientes a la planta de personal de la SJD</v>
          </cell>
          <cell r="U9" t="str">
            <v>Aplicativo SIDEAP y reportes entregados a la Dirección de Gestión Corporativa</v>
          </cell>
          <cell r="V9" t="str">
            <v>Proceso de Gestión del Talento Humano</v>
          </cell>
          <cell r="W9" t="str">
            <v>N/A</v>
          </cell>
          <cell r="X9" t="str">
            <v>N/A</v>
          </cell>
          <cell r="Y9" t="str">
            <v>CONSTANTE</v>
          </cell>
          <cell r="Z9" t="str">
            <v>Semestral</v>
          </cell>
          <cell r="AA9" t="str">
            <v>EFICACIA</v>
          </cell>
          <cell r="AB9" t="str">
            <v>CONTRATISTA - Jesica Alejandra Sierra Rabia</v>
          </cell>
          <cell r="AC9" t="str">
            <v>CONTRATISTA - José Francisco Arias Pachón</v>
          </cell>
          <cell r="AD9" t="str">
            <v>Director(a) de Gestión Corporativa</v>
          </cell>
          <cell r="AE9"/>
          <cell r="AF9">
            <v>100</v>
          </cell>
          <cell r="AG9">
            <v>100</v>
          </cell>
          <cell r="AH9">
            <v>100</v>
          </cell>
          <cell r="AI9">
            <v>100</v>
          </cell>
          <cell r="AJ9"/>
          <cell r="AK9"/>
          <cell r="AL9" t="str">
            <v>ND</v>
          </cell>
          <cell r="AM9"/>
          <cell r="AN9"/>
          <cell r="AO9">
            <v>0</v>
          </cell>
          <cell r="AP9">
            <v>0</v>
          </cell>
          <cell r="AQ9">
            <v>0</v>
          </cell>
          <cell r="AR9">
            <v>0</v>
          </cell>
          <cell r="AS9">
            <v>0</v>
          </cell>
          <cell r="AT9">
            <v>100</v>
          </cell>
          <cell r="AU9">
            <v>0</v>
          </cell>
          <cell r="AV9">
            <v>0</v>
          </cell>
          <cell r="AW9">
            <v>0</v>
          </cell>
          <cell r="AX9">
            <v>0</v>
          </cell>
          <cell r="AY9">
            <v>0</v>
          </cell>
          <cell r="AZ9">
            <v>100</v>
          </cell>
          <cell r="BA9"/>
          <cell r="BB9"/>
          <cell r="BC9"/>
          <cell r="BD9"/>
          <cell r="BE9"/>
          <cell r="BF9"/>
          <cell r="BG9"/>
          <cell r="BH9"/>
          <cell r="BI9"/>
          <cell r="BJ9"/>
          <cell r="BK9"/>
          <cell r="BL9"/>
          <cell r="BM9"/>
          <cell r="BN9"/>
          <cell r="BO9"/>
          <cell r="BP9"/>
          <cell r="BQ9"/>
          <cell r="BR9"/>
          <cell r="BS9"/>
          <cell r="BT9"/>
          <cell r="BU9"/>
          <cell r="BV9"/>
          <cell r="BW9"/>
          <cell r="BX9"/>
        </row>
        <row r="10">
          <cell r="E10" t="str">
            <v xml:space="preserve">Porcentaje de satisfacción en la prestación del servicio de la gestión administrativa de bienes y servicios. </v>
          </cell>
          <cell r="F10" t="str">
            <v>DIRECCIÓN DE GESTIÓN CORPORATIVA</v>
          </cell>
          <cell r="G10" t="str">
            <v>Lograr una percepción de la calidad del servicio por encima del 90%, mediante la aplicación de instrumentos de medición para identificar e implementar mejoras en el servicio.</v>
          </cell>
          <cell r="H10" t="str">
            <v>OPTIMIZACIÓN DE PROCESOS</v>
          </cell>
          <cell r="I10" t="str">
            <v>GESTIÓN ADMINISTRATIVA</v>
          </cell>
          <cell r="J10" t="str">
            <v>ACTIVO</v>
          </cell>
          <cell r="K10" t="str">
            <v>PLAN DE GESTIÓN</v>
          </cell>
          <cell r="L10" t="str">
            <v>PROCESOS</v>
          </cell>
          <cell r="M10"/>
          <cell r="N10"/>
          <cell r="O10" t="str">
            <v>(Numero de instrumentos de medición aplicados con calificación igual o superior a 90% / Numero de instrumentos de medición aplicadas)*100</v>
          </cell>
          <cell r="P10" t="str">
            <v>Instrumentos de medición</v>
          </cell>
          <cell r="Q10" t="str">
            <v>Instrumentos de medición aplicados con calificación igual o superior a 90%</v>
          </cell>
          <cell r="R10" t="str">
            <v>Instrumentos de medición aplicados a los servicios prestados por el Proceso</v>
          </cell>
          <cell r="S10" t="str">
            <v>Corresponde a la cantidad de instrumentos de medición aplicados a los servicios prestados por el Proceso de Gestión Administrativa con calificación igual o superior a 90%</v>
          </cell>
          <cell r="T10" t="str">
            <v>Corresponde a la cantidad de instrumentos de medición aplicados a los servicios prestados por el Proceso de Gestión Administrativa durante el trimestre a evaluar</v>
          </cell>
          <cell r="U10" t="str">
            <v>Archivos de gestión del proceso de Administrativa</v>
          </cell>
          <cell r="V10" t="str">
            <v>Archivos de gestión del proceso de Administrativa</v>
          </cell>
          <cell r="W10" t="str">
            <v>N/A</v>
          </cell>
          <cell r="X10" t="str">
            <v>N/A</v>
          </cell>
          <cell r="Y10" t="str">
            <v>CRECIENTE</v>
          </cell>
          <cell r="Z10" t="str">
            <v>Trimestral</v>
          </cell>
          <cell r="AA10" t="str">
            <v>Efectividad</v>
          </cell>
          <cell r="AB10" t="str">
            <v>CONTRATISTA - Jesica Alejandra Sierra Rabia</v>
          </cell>
          <cell r="AC10" t="str">
            <v>CONTRATISTA - José Francisco Arias Pachón</v>
          </cell>
          <cell r="AD10" t="str">
            <v>Director(a) de Gestión Corporativa</v>
          </cell>
          <cell r="AE10"/>
          <cell r="AF10"/>
          <cell r="AG10">
            <v>90</v>
          </cell>
          <cell r="AH10"/>
          <cell r="AI10"/>
          <cell r="AJ10"/>
          <cell r="AK10"/>
          <cell r="AL10" t="e">
            <v>#DIV/0!</v>
          </cell>
          <cell r="AM10"/>
          <cell r="AN10"/>
          <cell r="AO10">
            <v>0</v>
          </cell>
          <cell r="AP10">
            <v>0</v>
          </cell>
          <cell r="AQ10">
            <v>90</v>
          </cell>
          <cell r="AR10">
            <v>0</v>
          </cell>
          <cell r="AS10">
            <v>0</v>
          </cell>
          <cell r="AT10">
            <v>90</v>
          </cell>
          <cell r="AU10">
            <v>0</v>
          </cell>
          <cell r="AV10">
            <v>0</v>
          </cell>
          <cell r="AW10">
            <v>90</v>
          </cell>
          <cell r="AX10">
            <v>0</v>
          </cell>
          <cell r="AY10">
            <v>0</v>
          </cell>
          <cell r="AZ10">
            <v>90</v>
          </cell>
          <cell r="BA10"/>
          <cell r="BB10"/>
          <cell r="BC10"/>
          <cell r="BD10"/>
          <cell r="BE10"/>
          <cell r="BF10"/>
          <cell r="BG10"/>
          <cell r="BH10"/>
          <cell r="BI10"/>
          <cell r="BJ10"/>
          <cell r="BK10"/>
          <cell r="BL10"/>
          <cell r="BM10"/>
          <cell r="BN10"/>
          <cell r="BO10"/>
          <cell r="BP10"/>
          <cell r="BQ10"/>
          <cell r="BR10"/>
          <cell r="BS10"/>
          <cell r="BT10"/>
          <cell r="BU10"/>
          <cell r="BV10"/>
          <cell r="BW10"/>
          <cell r="BX10"/>
        </row>
        <row r="11">
          <cell r="E11" t="str">
            <v>Porcentaje de ejecución del plan de trabajo para la implementación de mejoras del sistema de información de inventarios</v>
          </cell>
          <cell r="F11" t="str">
            <v>DIRECCIÓN DE GESTIÓN CORPORATIVA</v>
          </cell>
          <cell r="G11" t="str">
            <v>Ejecutar las actividades del plan de trabajo establecido para la mejora en el sistema de información de inventarios, mediante el seguimiento continuo al cronograma.</v>
          </cell>
          <cell r="H11" t="str">
            <v>OPTIMIZACIÓN DE PROCESOS</v>
          </cell>
          <cell r="I11" t="str">
            <v>GESTIÓN ADMINISTRATIVA</v>
          </cell>
          <cell r="J11" t="str">
            <v>ACTIVO</v>
          </cell>
          <cell r="K11" t="str">
            <v>PLAN DE GESTIÓN</v>
          </cell>
          <cell r="L11" t="str">
            <v>PROCESOS</v>
          </cell>
          <cell r="M11"/>
          <cell r="N11"/>
          <cell r="O11" t="str">
            <v>(Número de actividades del cronograma de implementación de mejora del sistema de información de inventarios ejecutadas / Número de actividades del cronograma de implementación de mejora del sistema de información de inventarios programadas)*100</v>
          </cell>
          <cell r="P11" t="str">
            <v>Número de actividades</v>
          </cell>
          <cell r="Q11" t="str">
            <v xml:space="preserve"> Actividades del cronograma de implementación de mejora del sistema de información de inventarios ejecutadas en el trimestre a evaluar</v>
          </cell>
          <cell r="R11" t="str">
            <v xml:space="preserve"> Actividades del cronograma de implementación de mejora del sistema de información de inventarios programadas para el trimestre a evaluar</v>
          </cell>
          <cell r="S11" t="str">
            <v>Corresponde a las actividades ejecutadas en cumplimiento del cronograma de implementación de mejora del sistema de información de inventarios</v>
          </cell>
          <cell r="T11" t="str">
            <v>Corresponde a las actividades programadas en el cronograma de implementación de mejora del sistema de información de inventarios</v>
          </cell>
          <cell r="U11" t="str">
            <v>Cronograma de implementación de mejora del sistema de información de inventarios</v>
          </cell>
          <cell r="V11" t="str">
            <v>Cronograma de implementación de mejora del sistema de información de inventarios</v>
          </cell>
          <cell r="W11" t="str">
            <v>N/A</v>
          </cell>
          <cell r="X11" t="str">
            <v>N/A</v>
          </cell>
          <cell r="Y11" t="str">
            <v>CRECIENTE</v>
          </cell>
          <cell r="Z11" t="str">
            <v>Trimestral</v>
          </cell>
          <cell r="AA11" t="str">
            <v>EFICACIA</v>
          </cell>
          <cell r="AB11" t="str">
            <v>CONTRATISTA - Jesica Alejandra Sierra Rabia</v>
          </cell>
          <cell r="AC11" t="str">
            <v>CONTRATISTA - José Francisco Arias Pachón</v>
          </cell>
          <cell r="AD11" t="str">
            <v>Director(a) de Gestión Corporativa</v>
          </cell>
          <cell r="AE11"/>
          <cell r="AF11">
            <v>100</v>
          </cell>
          <cell r="AG11">
            <v>100</v>
          </cell>
          <cell r="AH11">
            <v>100</v>
          </cell>
          <cell r="AI11">
            <v>100</v>
          </cell>
          <cell r="AJ11"/>
          <cell r="AK11"/>
          <cell r="AL11" t="e">
            <v>#DIV/0!</v>
          </cell>
          <cell r="AM11"/>
          <cell r="AN11"/>
          <cell r="AO11">
            <v>0</v>
          </cell>
          <cell r="AP11">
            <v>0</v>
          </cell>
          <cell r="AQ11">
            <v>100</v>
          </cell>
          <cell r="AR11">
            <v>0</v>
          </cell>
          <cell r="AS11">
            <v>0</v>
          </cell>
          <cell r="AT11">
            <v>100</v>
          </cell>
          <cell r="AU11">
            <v>0</v>
          </cell>
          <cell r="AV11">
            <v>0</v>
          </cell>
          <cell r="AW11">
            <v>100</v>
          </cell>
          <cell r="AX11">
            <v>0</v>
          </cell>
          <cell r="AY11">
            <v>0</v>
          </cell>
          <cell r="AZ11">
            <v>100</v>
          </cell>
          <cell r="BA11"/>
          <cell r="BB11"/>
          <cell r="BC11"/>
          <cell r="BD11"/>
          <cell r="BE11"/>
          <cell r="BF11"/>
          <cell r="BG11"/>
          <cell r="BH11"/>
          <cell r="BI11"/>
          <cell r="BJ11"/>
          <cell r="BK11"/>
          <cell r="BL11"/>
          <cell r="BM11"/>
          <cell r="BN11"/>
          <cell r="BO11"/>
          <cell r="BP11"/>
          <cell r="BQ11"/>
          <cell r="BR11"/>
          <cell r="BS11"/>
          <cell r="BT11"/>
          <cell r="BU11"/>
          <cell r="BV11"/>
          <cell r="BW11"/>
          <cell r="BX11"/>
        </row>
        <row r="12">
          <cell r="E12" t="str">
            <v>Oportunidad en la notificación de los actos administrativos</v>
          </cell>
          <cell r="F12" t="str">
            <v>DIRECCIÓN DE GESTIÓN CORPORATIVA</v>
          </cell>
          <cell r="G12" t="str">
            <v>NOTIFICAR Y/O COMUNICAR Y/O PUBLICAR EL 100% DE LOS ACTOS ADMINISTRATIVOS NUMERADOS Y FECHADOS POR LA DIRECCIÓN DE GESTIÓN CORPORATIVA</v>
          </cell>
          <cell r="H12" t="str">
            <v>OPTIMIZACIÓN DE PROCESOS</v>
          </cell>
          <cell r="I12" t="str">
            <v>NOTIFICACIONES</v>
          </cell>
          <cell r="J12" t="str">
            <v>ACTIVO</v>
          </cell>
          <cell r="K12" t="str">
            <v>PROCESOS</v>
          </cell>
          <cell r="L12" t="str">
            <v>PLAN DE GESTIÓN</v>
          </cell>
          <cell r="M12"/>
          <cell r="N12"/>
          <cell r="O12" t="str">
            <v>Número de actos administrativos que se publican, comunican y/o notifican dentro de los términos legales vigentes en el trimestre/ Número total de actos administrativos solicitados para publicar, comunicar y/o notificar en el trimestre)*100</v>
          </cell>
          <cell r="P12" t="str">
            <v>Actos administrativos</v>
          </cell>
          <cell r="Q12" t="str">
            <v>Número total de actos administrativos que se publican, comunican y/o notifican en los términos de ley en el trimestre</v>
          </cell>
          <cell r="R12" t="str">
            <v>Número total de actos administrativos solicitados para publicar, comunicar y/o notificar en el trimestre</v>
          </cell>
          <cell r="S12" t="str">
            <v>Corresponde a los actos administrativos que durante el trimestre se publican, comunican y/o notifican en los tiempos definidos en los términos de ley</v>
          </cell>
          <cell r="T12" t="str">
            <v>Corresponden al total de actos administrativos que durante el trimestre son remitidos a la Dirección para su publicación, comunicación y/o notificación</v>
          </cell>
          <cell r="U12" t="str">
            <v>Base de datos de actos administrativos</v>
          </cell>
          <cell r="V12" t="str">
            <v>Base de datos de actos administrativos</v>
          </cell>
          <cell r="W12" t="str">
            <v>N/A</v>
          </cell>
          <cell r="X12" t="str">
            <v>N/A</v>
          </cell>
          <cell r="Y12" t="str">
            <v>CONSTANTE</v>
          </cell>
          <cell r="Z12" t="str">
            <v>TRIMESTRAL</v>
          </cell>
          <cell r="AA12" t="str">
            <v>EFICACIA</v>
          </cell>
          <cell r="AB12" t="str">
            <v>CONTRATISTA - Jesica Alejandra Sierra Rabia</v>
          </cell>
          <cell r="AC12" t="str">
            <v>CONTRATISTA - José Francisco Arias Pachón</v>
          </cell>
          <cell r="AD12" t="str">
            <v>Director(a) de Gestión Corporativa</v>
          </cell>
          <cell r="AE12"/>
          <cell r="AF12">
            <v>100</v>
          </cell>
          <cell r="AG12">
            <v>100</v>
          </cell>
          <cell r="AH12">
            <v>100</v>
          </cell>
          <cell r="AI12">
            <v>100</v>
          </cell>
          <cell r="AJ12"/>
          <cell r="AK12">
            <v>100</v>
          </cell>
          <cell r="AL12" t="str">
            <v>ND</v>
          </cell>
          <cell r="AM12"/>
          <cell r="AN12"/>
          <cell r="AO12">
            <v>0</v>
          </cell>
          <cell r="AP12">
            <v>0</v>
          </cell>
          <cell r="AQ12">
            <v>100</v>
          </cell>
          <cell r="AR12">
            <v>0</v>
          </cell>
          <cell r="AS12">
            <v>0</v>
          </cell>
          <cell r="AT12">
            <v>100</v>
          </cell>
          <cell r="AU12">
            <v>0</v>
          </cell>
          <cell r="AV12">
            <v>0</v>
          </cell>
          <cell r="AW12">
            <v>100</v>
          </cell>
          <cell r="AX12">
            <v>0</v>
          </cell>
          <cell r="AY12">
            <v>0</v>
          </cell>
          <cell r="AZ12">
            <v>100</v>
          </cell>
          <cell r="BA12"/>
          <cell r="BB12"/>
          <cell r="BC12"/>
          <cell r="BD12"/>
          <cell r="BE12"/>
          <cell r="BF12"/>
          <cell r="BG12"/>
          <cell r="BH12"/>
          <cell r="BI12"/>
          <cell r="BJ12"/>
          <cell r="BK12"/>
          <cell r="BL12"/>
          <cell r="BM12"/>
          <cell r="BN12"/>
          <cell r="BO12"/>
          <cell r="BP12"/>
          <cell r="BQ12"/>
          <cell r="BR12"/>
          <cell r="BS12"/>
          <cell r="BT12"/>
          <cell r="BU12"/>
          <cell r="BV12"/>
          <cell r="BW12"/>
          <cell r="BX12"/>
        </row>
        <row r="13">
          <cell r="E13" t="str">
            <v>Porcentaje de requerimientos gestionados oportunamente</v>
          </cell>
          <cell r="F13" t="str">
            <v>DIRECCIÓN DE GESTIÓN CORPORATIVA</v>
          </cell>
          <cell r="G13" t="str">
            <v>Gestionar oportunamente los requerimientos presentados por la ciudadanía través del sistema distrital para la gestión de peticiones ciudadanas Bogotá te Escucha, a términos de contribuir a una respuesta eficaz por parte de las dependencias competentes para el efecto.</v>
          </cell>
          <cell r="H13" t="str">
            <v>OPTIMIZACIÓN DE PROCESOS</v>
          </cell>
          <cell r="I13" t="str">
            <v>ATENCIÓN A LA CIUDADANÍA</v>
          </cell>
          <cell r="J13" t="str">
            <v>ACTIVO</v>
          </cell>
          <cell r="K13" t="str">
            <v>PROCESOS</v>
          </cell>
          <cell r="L13"/>
          <cell r="M13"/>
          <cell r="N13"/>
          <cell r="O13" t="str">
            <v>(Sumatoria de requerimientos gestionados oportunamente/ Sumatoria de requerimientos radicados)* 100</v>
          </cell>
          <cell r="P13" t="str">
            <v>Requerimientos</v>
          </cell>
          <cell r="Q13" t="str">
            <v>Requerimientos gestionados oportunamente en el trimestre</v>
          </cell>
          <cell r="R13" t="str">
            <v>Requerimientos radicados en el trimestre</v>
          </cell>
          <cell r="S13" t="str">
            <v>Corresponde a los requerimientos gestionados oportunamente (corresponde al análisis, asignación o traslado de la PQRS según corresponda)</v>
          </cell>
          <cell r="T13" t="str">
            <v>Corresponde a los requerimientos radicados a la entidad a través del canal Bogotá te Escucha</v>
          </cell>
          <cell r="U13" t="str">
            <v>Reporte Bogotá te escucha</v>
          </cell>
          <cell r="V13" t="str">
            <v>Reporte Bogotá te escucha</v>
          </cell>
          <cell r="W13" t="str">
            <v>N/A</v>
          </cell>
          <cell r="X13" t="str">
            <v>N/A</v>
          </cell>
          <cell r="Y13" t="str">
            <v>CONSTANTE</v>
          </cell>
          <cell r="Z13" t="str">
            <v>TRIMESTRAL</v>
          </cell>
          <cell r="AA13" t="str">
            <v>EFICACIA</v>
          </cell>
          <cell r="AB13" t="str">
            <v>CONTRATISTA - Jesica Alejandra Sierra Rabia</v>
          </cell>
          <cell r="AC13" t="str">
            <v>CONTRATISTA - José Francisco Arias Pachón</v>
          </cell>
          <cell r="AD13" t="str">
            <v>Director(a) de Gestión Corporativa</v>
          </cell>
          <cell r="AE13"/>
          <cell r="AF13">
            <v>100</v>
          </cell>
          <cell r="AG13">
            <v>100</v>
          </cell>
          <cell r="AH13">
            <v>100</v>
          </cell>
          <cell r="AI13">
            <v>100</v>
          </cell>
          <cell r="AJ13"/>
          <cell r="AK13">
            <v>100</v>
          </cell>
          <cell r="AL13" t="str">
            <v>ND</v>
          </cell>
          <cell r="AM13"/>
          <cell r="AN13"/>
          <cell r="AO13">
            <v>0</v>
          </cell>
          <cell r="AP13">
            <v>0</v>
          </cell>
          <cell r="AQ13">
            <v>100</v>
          </cell>
          <cell r="AR13">
            <v>0</v>
          </cell>
          <cell r="AS13">
            <v>0</v>
          </cell>
          <cell r="AT13">
            <v>100</v>
          </cell>
          <cell r="AU13">
            <v>0</v>
          </cell>
          <cell r="AV13">
            <v>0</v>
          </cell>
          <cell r="AW13">
            <v>100</v>
          </cell>
          <cell r="AX13">
            <v>0</v>
          </cell>
          <cell r="AY13">
            <v>0</v>
          </cell>
          <cell r="AZ13">
            <v>100</v>
          </cell>
          <cell r="BA13"/>
          <cell r="BB13"/>
          <cell r="BC13"/>
          <cell r="BD13"/>
          <cell r="BE13"/>
          <cell r="BF13"/>
          <cell r="BG13"/>
          <cell r="BH13"/>
          <cell r="BI13"/>
          <cell r="BJ13"/>
          <cell r="BK13"/>
          <cell r="BL13"/>
          <cell r="BM13"/>
          <cell r="BN13"/>
          <cell r="BO13"/>
          <cell r="BP13"/>
          <cell r="BQ13"/>
          <cell r="BR13"/>
          <cell r="BS13"/>
          <cell r="BT13"/>
          <cell r="BU13"/>
          <cell r="BV13"/>
          <cell r="BW13"/>
          <cell r="BX13"/>
        </row>
        <row r="14">
          <cell r="E14" t="str">
            <v>Porcentaje de ejecución del Programa de Gestión Documental - PGD</v>
          </cell>
          <cell r="F14" t="str">
            <v>DIRECCIÓN DE GESTIÓN CORPORATIVA</v>
          </cell>
          <cell r="G14" t="str">
            <v xml:space="preserve">Garantizar el desarrollo de las actividades establecidas en el Programa de Gestión Documental - PGD para la vigencia 2022 que contribuyan al cumplimiento de la política de gestión documental y por ende a la sexta dimensión Información y Comunicación del Modelo Integrado de Planeación y Gestión MIPG </v>
          </cell>
          <cell r="H14" t="str">
            <v>OPTIMIZACIÓN DE PROCESOS</v>
          </cell>
          <cell r="I14" t="str">
            <v>GESTIÓN DOCUMENTAL</v>
          </cell>
          <cell r="J14" t="str">
            <v>ACTIVO</v>
          </cell>
          <cell r="K14" t="str">
            <v>PLAN DE GESTIÓN</v>
          </cell>
          <cell r="L14" t="str">
            <v>PROCESOS</v>
          </cell>
          <cell r="M14"/>
          <cell r="N14"/>
          <cell r="O14" t="str">
            <v>(Número de actividades del cronograma de implementación del Programa de Gestión Documental - PGD realizadas / Número de actividades del cronograma de implementación del Programa de Gestión Documental - PGD programadas)*100</v>
          </cell>
          <cell r="P14" t="str">
            <v>Número de actividades</v>
          </cell>
          <cell r="Q14" t="str">
            <v xml:space="preserve"> Actividades del cronograma de implementación del Programa de Gestión Documental - PGD vigencia 2022 realizadas</v>
          </cell>
          <cell r="R14" t="str">
            <v xml:space="preserve"> Actividades del cronograma de implementación del Programa de Gestión Documental - PGD vigencia 2022 programadas</v>
          </cell>
          <cell r="S14" t="str">
            <v>Corresponde a las actividades ejecutadas en cumplimiento del cronograma de implementación Programa de Gestión Documental - PGD vigencia 2022</v>
          </cell>
          <cell r="T14" t="str">
            <v>Corresponde a las actividades programadas en el cronograma de implementación Programa de Gestión Documental - PGD vigencia 2022</v>
          </cell>
          <cell r="U14" t="str">
            <v>Cronograma de implementación Programa de Gestión Documental - PGD vigencia 2022</v>
          </cell>
          <cell r="V14" t="str">
            <v>Cronograma de implementación Programa de Gestión Documental - PGD vigencia 2022</v>
          </cell>
          <cell r="W14" t="str">
            <v>N/A</v>
          </cell>
          <cell r="X14" t="str">
            <v>N/A</v>
          </cell>
          <cell r="Y14" t="str">
            <v>CONSTANTE</v>
          </cell>
          <cell r="Z14" t="str">
            <v>TRIMESTRAL</v>
          </cell>
          <cell r="AA14" t="str">
            <v>EFICACIA</v>
          </cell>
          <cell r="AB14" t="str">
            <v>CONTRATISTA - Jesica Alejandra Sierra Rabia</v>
          </cell>
          <cell r="AC14" t="str">
            <v>CONTRATISTA - José Francisco Arias Pachón</v>
          </cell>
          <cell r="AD14" t="str">
            <v>Director(a) de Gestión Corporativa</v>
          </cell>
          <cell r="AE14"/>
          <cell r="AF14"/>
          <cell r="AG14">
            <v>90</v>
          </cell>
          <cell r="AH14">
            <v>100</v>
          </cell>
          <cell r="AI14">
            <v>100</v>
          </cell>
          <cell r="AJ14"/>
          <cell r="AK14"/>
          <cell r="AL14" t="str">
            <v>ND</v>
          </cell>
          <cell r="AM14"/>
          <cell r="AN14"/>
          <cell r="AO14">
            <v>0</v>
          </cell>
          <cell r="AP14">
            <v>0</v>
          </cell>
          <cell r="AQ14">
            <v>13.5</v>
          </cell>
          <cell r="AR14">
            <v>0</v>
          </cell>
          <cell r="AS14">
            <v>0</v>
          </cell>
          <cell r="AT14">
            <v>23.5</v>
          </cell>
          <cell r="AU14">
            <v>0</v>
          </cell>
          <cell r="AV14">
            <v>0</v>
          </cell>
          <cell r="AW14">
            <v>6.5</v>
          </cell>
          <cell r="AX14">
            <v>0</v>
          </cell>
          <cell r="AY14">
            <v>0</v>
          </cell>
          <cell r="AZ14">
            <v>46.5</v>
          </cell>
          <cell r="BA14"/>
          <cell r="BB14"/>
          <cell r="BC14"/>
          <cell r="BD14"/>
          <cell r="BE14"/>
          <cell r="BF14"/>
          <cell r="BG14"/>
          <cell r="BH14"/>
          <cell r="BI14"/>
          <cell r="BJ14"/>
          <cell r="BK14"/>
          <cell r="BL14"/>
          <cell r="BM14"/>
          <cell r="BN14"/>
          <cell r="BO14"/>
          <cell r="BP14"/>
          <cell r="BQ14"/>
          <cell r="BR14"/>
          <cell r="BS14"/>
          <cell r="BT14"/>
          <cell r="BU14"/>
          <cell r="BV14"/>
          <cell r="BW14"/>
          <cell r="BX14"/>
        </row>
        <row r="15">
          <cell r="E15" t="str">
            <v>Información contable conciliada - Información de los Estados Financieros Conciliada</v>
          </cell>
          <cell r="F15" t="str">
            <v>DIRECCIÓN DE GESTIÓN CORPORATIVA</v>
          </cell>
          <cell r="G15" t="str">
            <v>Verificar que el 100% de la información generada por las dependencias que participan en el proceso contable se vea reflejada en los estados financieros de la Entidad, a través del cumplimiento del plan de conciliaciones programadas para la vigencia, con el propósito de contar con información confiable y oportuna.</v>
          </cell>
          <cell r="H15" t="str">
            <v>OPTIMIZACIÓN DE PROCESOS</v>
          </cell>
          <cell r="I15" t="str">
            <v>GESTIÓN FINANCIERA</v>
          </cell>
          <cell r="J15" t="str">
            <v>ACTIVO</v>
          </cell>
          <cell r="K15" t="str">
            <v>PLAN DE GESTIÓN</v>
          </cell>
          <cell r="L15" t="str">
            <v>PROCESOS</v>
          </cell>
          <cell r="M15"/>
          <cell r="N15"/>
          <cell r="O15" t="str">
            <v>(Sumatoria de las conciliaciones formalizadas en el trimestre /
Conciliaciones programadas para el trimestre)*100</v>
          </cell>
          <cell r="P15" t="str">
            <v>Porcentaje</v>
          </cell>
          <cell r="Q15" t="str">
            <v>Numero de conciliaciones elaboradas y firmadas por las áreas</v>
          </cell>
          <cell r="R15" t="str">
            <v>Numero de conciliaciones programado dentro del plan del Proceso de Gestión Financiera</v>
          </cell>
          <cell r="S15" t="str">
            <v>Corresponde al total de conciliaciones elaboradas y firmadas durante el período objeto de evaluación.</v>
          </cell>
          <cell r="T15" t="str">
            <v>Corresponde al total de conciliaciones programadas por el Proceso de Gestión Financiera para el período objeto de evaluación.</v>
          </cell>
          <cell r="U15" t="str">
            <v>Conciliaciones elaboradas y firmadas, las cuales son archivadas por el proceso de Gestión Financiera - Contabilidad.</v>
          </cell>
          <cell r="V15" t="str">
            <v>Informe de conciliaciones programadas para el período objeto de evaluación.</v>
          </cell>
          <cell r="W15" t="str">
            <v>N/A</v>
          </cell>
          <cell r="X15" t="str">
            <v>N/A</v>
          </cell>
          <cell r="Y15" t="str">
            <v>CONSTANTE</v>
          </cell>
          <cell r="Z15" t="str">
            <v>TRIMESTRAL</v>
          </cell>
          <cell r="AA15" t="str">
            <v>EFICACIA</v>
          </cell>
          <cell r="AB15" t="str">
            <v>CONTRATISTA - Jesica Alejandra Sierra Rabia</v>
          </cell>
          <cell r="AC15" t="str">
            <v>CONTRATISTA - José Francisco Arias Pachón</v>
          </cell>
          <cell r="AD15" t="str">
            <v>Director(a) de Gestión Corporativa</v>
          </cell>
          <cell r="AE15"/>
          <cell r="AF15">
            <v>100</v>
          </cell>
          <cell r="AG15">
            <v>100</v>
          </cell>
          <cell r="AH15">
            <v>100</v>
          </cell>
          <cell r="AI15">
            <v>100</v>
          </cell>
          <cell r="AJ15"/>
          <cell r="AK15">
            <v>100</v>
          </cell>
          <cell r="AL15" t="str">
            <v>ND</v>
          </cell>
          <cell r="AM15"/>
          <cell r="AN15"/>
          <cell r="AO15">
            <v>0</v>
          </cell>
          <cell r="AP15">
            <v>0</v>
          </cell>
          <cell r="AQ15">
            <v>100</v>
          </cell>
          <cell r="AR15">
            <v>0</v>
          </cell>
          <cell r="AS15">
            <v>0</v>
          </cell>
          <cell r="AT15">
            <v>100</v>
          </cell>
          <cell r="AU15">
            <v>0</v>
          </cell>
          <cell r="AV15">
            <v>0</v>
          </cell>
          <cell r="AW15">
            <v>100</v>
          </cell>
          <cell r="AX15">
            <v>0</v>
          </cell>
          <cell r="AY15">
            <v>0</v>
          </cell>
          <cell r="AZ15">
            <v>100</v>
          </cell>
          <cell r="BA15"/>
          <cell r="BB15"/>
          <cell r="BC15"/>
          <cell r="BD15"/>
          <cell r="BE15"/>
          <cell r="BF15"/>
          <cell r="BG15"/>
          <cell r="BH15"/>
          <cell r="BI15"/>
          <cell r="BJ15"/>
          <cell r="BK15"/>
          <cell r="BL15"/>
          <cell r="BM15"/>
          <cell r="BN15"/>
          <cell r="BO15"/>
          <cell r="BP15"/>
          <cell r="BQ15"/>
          <cell r="BR15"/>
          <cell r="BS15"/>
          <cell r="BT15"/>
          <cell r="BU15"/>
          <cell r="BV15"/>
          <cell r="BW15"/>
          <cell r="BX15"/>
        </row>
        <row r="16">
          <cell r="E16" t="str">
            <v>Porcentaje de ejecución presupuestal en términos del total comprometido.</v>
          </cell>
          <cell r="F16" t="str">
            <v>DIRECCIÓN DE GESTIÓN CORPORATIVA</v>
          </cell>
          <cell r="G16" t="str">
            <v>Porcentaje de ejecución presupuestal en términos del total comprometido</v>
          </cell>
          <cell r="H16" t="str">
            <v>OPTIMIZACIÓN DE PROCESOS</v>
          </cell>
          <cell r="I16" t="str">
            <v>GESTIÓN FINANCIERA</v>
          </cell>
          <cell r="J16" t="str">
            <v>ACTIVO</v>
          </cell>
          <cell r="K16" t="str">
            <v>PLAN DE GESTIÓN</v>
          </cell>
          <cell r="L16"/>
          <cell r="M16"/>
          <cell r="N16"/>
          <cell r="O16" t="str">
            <v>(Presupuesto comprometido/ Presupuesto vigente)*100</v>
          </cell>
          <cell r="P16" t="str">
            <v>Presupuesto</v>
          </cell>
          <cell r="Q16" t="str">
            <v>Presupuesto comprometido</v>
          </cell>
          <cell r="R16" t="str">
            <v>Presupuesto vigente</v>
          </cell>
          <cell r="S16" t="str">
            <v>Corresponde al total de recursos comprometidos</v>
          </cell>
          <cell r="T16" t="str">
            <v>Corresponde a la apropiación vigente compuesta por recursos de inversión y funcionamiento</v>
          </cell>
          <cell r="U16" t="str">
            <v>Informe de ejecución presupuestal</v>
          </cell>
          <cell r="V16" t="str">
            <v>Informe de ejecución presupuestal</v>
          </cell>
          <cell r="W16" t="str">
            <v>N/A</v>
          </cell>
          <cell r="X16" t="str">
            <v>N/A</v>
          </cell>
          <cell r="Y16" t="str">
            <v>CRECIENTE</v>
          </cell>
          <cell r="Z16" t="str">
            <v>TRIMESTRAL</v>
          </cell>
          <cell r="AA16" t="str">
            <v>EFICACIA</v>
          </cell>
          <cell r="AB16" t="str">
            <v>CONTRATISTA - Jesica Alejandra Sierra Rabia</v>
          </cell>
          <cell r="AC16" t="str">
            <v>CONTRATISTA - José Francisco Arias Pachón</v>
          </cell>
          <cell r="AD16" t="str">
            <v>Director(a) de Gestión Corporativa</v>
          </cell>
          <cell r="AE16"/>
          <cell r="AF16">
            <v>94</v>
          </cell>
          <cell r="AG16">
            <v>96</v>
          </cell>
          <cell r="AH16"/>
          <cell r="AI16"/>
          <cell r="AJ16"/>
          <cell r="AK16">
            <v>98</v>
          </cell>
          <cell r="AL16" t="str">
            <v>ND</v>
          </cell>
          <cell r="AM16"/>
          <cell r="AN16"/>
          <cell r="AO16">
            <v>0</v>
          </cell>
          <cell r="AP16">
            <v>0</v>
          </cell>
          <cell r="AQ16">
            <v>27</v>
          </cell>
          <cell r="AR16">
            <v>0</v>
          </cell>
          <cell r="AS16">
            <v>0</v>
          </cell>
          <cell r="AT16">
            <v>54</v>
          </cell>
          <cell r="AU16">
            <v>0</v>
          </cell>
          <cell r="AV16">
            <v>0</v>
          </cell>
          <cell r="AW16">
            <v>77</v>
          </cell>
          <cell r="AX16">
            <v>0</v>
          </cell>
          <cell r="AY16">
            <v>0</v>
          </cell>
          <cell r="AZ16">
            <v>96</v>
          </cell>
          <cell r="BA16"/>
          <cell r="BB16"/>
          <cell r="BC16"/>
          <cell r="BD16"/>
          <cell r="BE16"/>
          <cell r="BF16"/>
          <cell r="BG16"/>
          <cell r="BH16"/>
          <cell r="BI16"/>
          <cell r="BJ16"/>
          <cell r="BK16"/>
          <cell r="BL16"/>
          <cell r="BM16"/>
          <cell r="BN16"/>
          <cell r="BO16"/>
          <cell r="BP16"/>
          <cell r="BQ16"/>
          <cell r="BR16"/>
          <cell r="BS16"/>
          <cell r="BT16"/>
          <cell r="BU16"/>
          <cell r="BV16"/>
          <cell r="BW16"/>
          <cell r="BX16"/>
        </row>
        <row r="17">
          <cell r="E17" t="str">
            <v>583 - NÚMERO DE SERVIDORES PÚBLICOS ORIENTADOS EN MATERIA DISCIPLINARIA</v>
          </cell>
          <cell r="F17" t="str">
            <v>DIRECCIÓN DISTRITAL DE ASUNTOS DISCIPLINARIOS</v>
          </cell>
          <cell r="G17" t="str">
            <v>MEDIR EL NÚMERO DE SERVIDORES PÚBLICOS DISTRITALES ORIENTADOS EN PREVENCIÓN DE LA OCURRENCIA DE FALTA DISCIPLINARIA.</v>
          </cell>
          <cell r="H17" t="str">
            <v>POSICIONAMIENTO COMO ENTE RECTOR</v>
          </cell>
          <cell r="I17" t="str">
            <v>GESTIÓN DISCIPLINARIA DISTRITAL</v>
          </cell>
          <cell r="J17" t="str">
            <v>ACTIVO</v>
          </cell>
          <cell r="K17" t="str">
            <v>PLAN DE DESARROLLO</v>
          </cell>
          <cell r="L17" t="str">
            <v>PROYECTO DE INVERSIÓN</v>
          </cell>
          <cell r="M17" t="str">
            <v>PMR</v>
          </cell>
          <cell r="N17" t="str">
            <v>ODS</v>
          </cell>
          <cell r="O17" t="str">
            <v>Sumatoria de servidores públicos orientados en materia disciplinaria</v>
          </cell>
          <cell r="P17" t="str">
            <v>Servidores Públicos</v>
          </cell>
          <cell r="Q17" t="str">
            <v>Número de servidores públicos orientados en materia disciplinaria</v>
          </cell>
          <cell r="R17" t="str">
            <v>N.A.</v>
          </cell>
          <cell r="S17" t="str">
            <v>Corresponde al número de personas orientadas a través de diferentes estrategias</v>
          </cell>
          <cell r="T17" t="str">
            <v>N.A.</v>
          </cell>
          <cell r="U17" t="str">
            <v>Listas o evidencias de asistencia</v>
          </cell>
          <cell r="V17" t="str">
            <v>N.A.</v>
          </cell>
          <cell r="W17">
            <v>4034</v>
          </cell>
          <cell r="X17" t="str">
            <v>Anexo artículo 14 - PDD</v>
          </cell>
          <cell r="Y17" t="str">
            <v>SUMA</v>
          </cell>
          <cell r="Z17" t="str">
            <v>MENSUAL</v>
          </cell>
          <cell r="AA17" t="str">
            <v>EFICACIA</v>
          </cell>
          <cell r="AB17" t="str">
            <v>PROFESIONAL DDAD</v>
          </cell>
          <cell r="AC17" t="str">
            <v>PROFESIONAL DDAD</v>
          </cell>
          <cell r="AD17" t="str">
            <v>DIRECTOR (A) DISTRITAL DE ASUNTOS DISCIPLINARIOS</v>
          </cell>
          <cell r="AE17" t="str">
            <v>ND</v>
          </cell>
          <cell r="AF17">
            <v>3500</v>
          </cell>
          <cell r="AG17">
            <v>2000</v>
          </cell>
          <cell r="AH17">
            <v>2000</v>
          </cell>
          <cell r="AI17">
            <v>500</v>
          </cell>
          <cell r="AJ17" t="str">
            <v>ND</v>
          </cell>
          <cell r="AK17">
            <v>4034</v>
          </cell>
          <cell r="AL17">
            <v>0</v>
          </cell>
          <cell r="AM17"/>
          <cell r="AN17"/>
          <cell r="AO17">
            <v>0</v>
          </cell>
          <cell r="AP17">
            <v>0</v>
          </cell>
          <cell r="AQ17">
            <v>0</v>
          </cell>
          <cell r="AR17">
            <v>0</v>
          </cell>
          <cell r="AS17">
            <v>0</v>
          </cell>
          <cell r="AT17">
            <v>0</v>
          </cell>
          <cell r="AU17">
            <v>0</v>
          </cell>
          <cell r="AV17">
            <v>0</v>
          </cell>
          <cell r="AW17">
            <v>0</v>
          </cell>
          <cell r="AX17">
            <v>1500</v>
          </cell>
          <cell r="AY17">
            <v>500</v>
          </cell>
          <cell r="AZ17">
            <v>0</v>
          </cell>
          <cell r="BA17">
            <v>0</v>
          </cell>
          <cell r="BB17">
            <v>0</v>
          </cell>
          <cell r="BC17"/>
          <cell r="BD17"/>
          <cell r="BE17"/>
          <cell r="BF17"/>
          <cell r="BG17"/>
          <cell r="BH17"/>
          <cell r="BI17"/>
          <cell r="BJ17"/>
          <cell r="BK17"/>
          <cell r="BL17"/>
          <cell r="BM17" t="str">
            <v>Del 01 al 31 de enero de 2022, no se realizaron orientaciones toda vez que se tiene planeado ejecutar la meta en el mes de octubre y noviembre de 2022.</v>
          </cell>
          <cell r="BN17" t="str">
            <v>Del 01 al 28 de febrero de 2022, no se realizaron orientaciones toda vez que se tiene planeado ejecutar la meta en el mes de octubre y noviembre de 2022.</v>
          </cell>
          <cell r="BO17"/>
          <cell r="BP17"/>
          <cell r="BQ17"/>
          <cell r="BR17"/>
          <cell r="BS17"/>
          <cell r="BT17"/>
          <cell r="BU17"/>
          <cell r="BV17"/>
          <cell r="BW17"/>
          <cell r="BX17"/>
        </row>
        <row r="18">
          <cell r="E18" t="str">
            <v>563 - NÚMERO DE DIRECTRICES DISCIPLINARIAS EMITIDAS</v>
          </cell>
          <cell r="F18" t="str">
            <v>DIRECCIÓN DISTRITAL DE ASUNTOS DISCIPLINARIOS</v>
          </cell>
          <cell r="G18" t="str">
            <v>MEDIR EL NÚMERO DE DIRECTRICES EMITIDAS EN MATERIA DISCIPLINARIA</v>
          </cell>
          <cell r="H18" t="str">
            <v xml:space="preserve">RESPALDO JURÍDICO QUE GENERA CONFIANZA. </v>
          </cell>
          <cell r="I18" t="str">
            <v>GESTIÓN DISCIPLINARIA DISTRITAL</v>
          </cell>
          <cell r="J18" t="str">
            <v>ACTIVO</v>
          </cell>
          <cell r="K18" t="str">
            <v>PLAN DE DESARROLLO</v>
          </cell>
          <cell r="L18" t="str">
            <v>PROYECTO DE INVERSIÓN</v>
          </cell>
          <cell r="M18" t="str">
            <v>PRODUCTO</v>
          </cell>
          <cell r="N18" t="str">
            <v>ODS</v>
          </cell>
          <cell r="O18" t="str">
            <v>Sumatoria de directrices emitidas en materia disciplinaria</v>
          </cell>
          <cell r="P18" t="str">
            <v>Directrices</v>
          </cell>
          <cell r="Q18" t="str">
            <v>Número de directrices emitidas en materia disciplinaria</v>
          </cell>
          <cell r="R18" t="str">
            <v>N.A.</v>
          </cell>
          <cell r="S18" t="str">
            <v>Total de directivas emitidas</v>
          </cell>
          <cell r="T18" t="str">
            <v>N.A.</v>
          </cell>
          <cell r="U18" t="str">
            <v>Plan de Desarrollo 2020-2024
Informe de gestión DDAD</v>
          </cell>
          <cell r="V18" t="str">
            <v>N.A.</v>
          </cell>
          <cell r="W18">
            <v>1</v>
          </cell>
          <cell r="X18" t="str">
            <v>PLAN DE DESARROLLO 2020-2024, INFORME DE LA DIRECCIÓN DISTRITAL DE ASUNTOS DISCIPLINARIOS</v>
          </cell>
          <cell r="Y18" t="str">
            <v>SUMA</v>
          </cell>
          <cell r="Z18" t="str">
            <v>MENSUAL</v>
          </cell>
          <cell r="AA18" t="str">
            <v>EFICACIA</v>
          </cell>
          <cell r="AB18" t="str">
            <v>PROFESIONAL ESPECIALIZADO DDAD</v>
          </cell>
          <cell r="AC18" t="str">
            <v>PROFESIONAL ESPECIALIZADO DDAD</v>
          </cell>
          <cell r="AD18" t="str">
            <v>DIRECTOR (A) DISTRITAL DE ASUNTOS DISCIPLINARIOS</v>
          </cell>
          <cell r="AE18" t="str">
            <v>ND</v>
          </cell>
          <cell r="AF18">
            <v>1</v>
          </cell>
          <cell r="AG18">
            <v>1</v>
          </cell>
          <cell r="AH18">
            <v>1</v>
          </cell>
          <cell r="AI18">
            <v>1</v>
          </cell>
          <cell r="AJ18" t="str">
            <v>ND</v>
          </cell>
          <cell r="AK18">
            <v>1</v>
          </cell>
          <cell r="AL18">
            <v>0</v>
          </cell>
          <cell r="AM18"/>
          <cell r="AN18"/>
          <cell r="AO18">
            <v>0</v>
          </cell>
          <cell r="AP18">
            <v>0</v>
          </cell>
          <cell r="AQ18">
            <v>0</v>
          </cell>
          <cell r="AR18">
            <v>0</v>
          </cell>
          <cell r="AS18">
            <v>0</v>
          </cell>
          <cell r="AT18">
            <v>0</v>
          </cell>
          <cell r="AU18">
            <v>0</v>
          </cell>
          <cell r="AV18">
            <v>0</v>
          </cell>
          <cell r="AW18">
            <v>0</v>
          </cell>
          <cell r="AX18">
            <v>0</v>
          </cell>
          <cell r="AY18">
            <v>1</v>
          </cell>
          <cell r="AZ18">
            <v>0</v>
          </cell>
          <cell r="BA18">
            <v>0</v>
          </cell>
          <cell r="BB18">
            <v>0</v>
          </cell>
          <cell r="BC18"/>
          <cell r="BD18"/>
          <cell r="BE18"/>
          <cell r="BF18"/>
          <cell r="BG18"/>
          <cell r="BH18"/>
          <cell r="BI18"/>
          <cell r="BJ18"/>
          <cell r="BK18"/>
          <cell r="BL18"/>
          <cell r="BM18" t="str">
            <v>Del 01 al 31 de enero de 2022, no se realizaron directivas, toda vez que los recursos se comenzarán a ejecutar en el segundo semestre de 2022.</v>
          </cell>
          <cell r="BN18" t="str">
            <v>Del 01 al 28 de febrero de 2022, no se realizaron directivas, toda vez que los recursos se comenzarán a ejecutar en el segundo semestre de 2022.</v>
          </cell>
          <cell r="BO18"/>
          <cell r="BP18"/>
          <cell r="BQ18"/>
          <cell r="BR18"/>
          <cell r="BS18"/>
          <cell r="BT18"/>
          <cell r="BU18"/>
          <cell r="BV18"/>
          <cell r="BW18"/>
          <cell r="BX18"/>
        </row>
        <row r="19">
          <cell r="E19" t="str">
            <v xml:space="preserve">Número de procesos disciplinarios evaluados una vez vencido el término de la etapa procesal. </v>
          </cell>
          <cell r="F19" t="str">
            <v>DIRECCIÓN DISTRITAL DE ASUNTOS DISCIPLINARIOS</v>
          </cell>
          <cell r="G19" t="str">
            <v>Evaluar al 100% los procesos disciplinarios una vez vencido el término de la etapa procesal; mediante el análisis de las actuaciones, con el fin de dar inicio a la etapa de investigación, juicio disciplinario o archivo del mismo.</v>
          </cell>
          <cell r="H19" t="str">
            <v>OPTIMIZACIÓN DE PROCESOS</v>
          </cell>
          <cell r="I19" t="str">
            <v>CONTROL INTERNO DISCIPLINARIO</v>
          </cell>
          <cell r="J19" t="str">
            <v>ACTIVO</v>
          </cell>
          <cell r="K19" t="str">
            <v>PLAN DE GESTIÓN</v>
          </cell>
          <cell r="L19" t="str">
            <v>PROCESOS</v>
          </cell>
          <cell r="M19"/>
          <cell r="N19"/>
          <cell r="O19" t="str">
            <v xml:space="preserve">Número de procesos disciplinarios evaluados una vez vencido el término de la etapa procesal.
/Números de procesos disciplinarios por evaluar una vez vencido el término de la etapa procesal. </v>
          </cell>
          <cell r="P19" t="str">
            <v>Número de procesos disciplinarios</v>
          </cell>
          <cell r="Q19" t="str">
            <v>Número de procesos disciplinarios evaluados una vez vencido el término de la etapa procesal.</v>
          </cell>
          <cell r="R19" t="str">
            <v xml:space="preserve">Números de procesos disciplinarios por evaluar una vez vencido el término de la etapa procesal. </v>
          </cell>
          <cell r="S19" t="str">
            <v>Corresponde a los procesos disciplinarios  evaluados una vez vencido el término de la etapa procesal que pueden dar inicio a la investigación disciplinaria</v>
          </cell>
          <cell r="T19" t="str">
            <v>Corresponde a los procesos disciplinarios  por evaluar una vez vencido el término de la etapa procesal que pueden dar inicio a la investigación disciplinaria</v>
          </cell>
          <cell r="U19" t="str">
            <v>Reporte de gestión</v>
          </cell>
          <cell r="V19" t="str">
            <v>Reporte de gestión</v>
          </cell>
          <cell r="W19" t="str">
            <v>84</v>
          </cell>
          <cell r="X19" t="str">
            <v>Gestión  DDAD 2020</v>
          </cell>
          <cell r="Y19" t="str">
            <v>CONSTANTE</v>
          </cell>
          <cell r="Z19" t="str">
            <v>TRIMESTRAL</v>
          </cell>
          <cell r="AA19" t="str">
            <v>EFICACIA</v>
          </cell>
          <cell r="AB19" t="str">
            <v>PROFESIONAL ESPECIALIZADO DDAD</v>
          </cell>
          <cell r="AC19" t="str">
            <v>PROFESIONAL ESPECIALIZADO DDAD</v>
          </cell>
          <cell r="AD19" t="str">
            <v>DIRECTOR (A) DISTRITAL DE ASUNTOS DISCIPLINARIOS</v>
          </cell>
          <cell r="AE19"/>
          <cell r="AF19"/>
          <cell r="AG19">
            <v>100</v>
          </cell>
          <cell r="AH19">
            <v>100</v>
          </cell>
          <cell r="AI19">
            <v>100</v>
          </cell>
          <cell r="AJ19"/>
          <cell r="AK19"/>
          <cell r="AL19" t="str">
            <v>ND</v>
          </cell>
          <cell r="AM19"/>
          <cell r="AN19"/>
          <cell r="AO19">
            <v>0</v>
          </cell>
          <cell r="AP19">
            <v>0</v>
          </cell>
          <cell r="AQ19">
            <v>100</v>
          </cell>
          <cell r="AR19">
            <v>0</v>
          </cell>
          <cell r="AS19">
            <v>0</v>
          </cell>
          <cell r="AT19">
            <v>100</v>
          </cell>
          <cell r="AU19">
            <v>0</v>
          </cell>
          <cell r="AV19">
            <v>0</v>
          </cell>
          <cell r="AW19">
            <v>100</v>
          </cell>
          <cell r="AX19">
            <v>0</v>
          </cell>
          <cell r="AY19">
            <v>0</v>
          </cell>
          <cell r="AZ19">
            <v>100</v>
          </cell>
          <cell r="BA19"/>
          <cell r="BB19"/>
          <cell r="BC19"/>
          <cell r="BD19"/>
          <cell r="BE19"/>
          <cell r="BF19"/>
          <cell r="BG19"/>
          <cell r="BH19"/>
          <cell r="BI19"/>
          <cell r="BJ19"/>
          <cell r="BK19"/>
          <cell r="BL19"/>
          <cell r="BM19"/>
          <cell r="BN19"/>
          <cell r="BO19"/>
          <cell r="BP19"/>
          <cell r="BQ19"/>
          <cell r="BR19"/>
          <cell r="BS19"/>
          <cell r="BT19"/>
          <cell r="BU19"/>
          <cell r="BV19"/>
          <cell r="BW19"/>
          <cell r="BX19"/>
        </row>
        <row r="20">
          <cell r="E20" t="str">
            <v>NÚMERO DE OBSERVACIONES CIUDADANAS EN LOS PROYECTOS DE ACTOS ADMINISTRATIVOS DISTRITALES</v>
          </cell>
          <cell r="F20" t="str">
            <v>DIRECCIÓN DISTRITAL DE DOCTRINA Y ASUNTOS NORMATIVOS</v>
          </cell>
          <cell r="G20" t="str">
            <v>LLEVAR EL CONTROL DEL NÚMERO DE OBSERVACIONES PRESENTADAS POR LA CIUADADANÍA Y/O PARTES INTERESADAS.</v>
          </cell>
          <cell r="H20" t="str">
            <v xml:space="preserve">RESPALDO JURÍDICO QUE GENERA CONFIANZA. </v>
          </cell>
          <cell r="I20" t="str">
            <v>GESTIÓN NORMATIVA Y CONCEPTUAL</v>
          </cell>
          <cell r="J20" t="str">
            <v>ACTIVO</v>
          </cell>
          <cell r="K20" t="str">
            <v>PROYECTO DE INVERSIÓN</v>
          </cell>
          <cell r="L20"/>
          <cell r="M20"/>
          <cell r="N20"/>
          <cell r="O20" t="str">
            <v>Sumatoria del número de observaciones realizadas por la ciudadanía y/o partes interesadas, respecto de actos administrativos presentado por la Administración Distrital</v>
          </cell>
          <cell r="P20" t="str">
            <v>Observaciones</v>
          </cell>
          <cell r="Q20" t="str">
            <v>Número de observaciones realizadas por la ciudadanía y/o partes interesadas, respecto de actos administrativos presentado por la Administración Distrital</v>
          </cell>
          <cell r="R20" t="str">
            <v>N.A.</v>
          </cell>
          <cell r="S20" t="str">
            <v>Son las observaciones que surgen por parte de la ciudadanía y/o partes interesadas, con ocasión a la publicación de los actos administrativos (decretos, resoluciones, directivas, circulares, entre otros), de interés para el Distrito Capital , y que son objeto de firma de la Alcaldesa</v>
          </cell>
          <cell r="T20" t="str">
            <v>N.A.</v>
          </cell>
          <cell r="U20" t="str">
            <v>Reporte LEGALBOG</v>
          </cell>
          <cell r="V20" t="str">
            <v>N.A.</v>
          </cell>
          <cell r="W20">
            <v>1692</v>
          </cell>
          <cell r="X20" t="str">
            <v>Informes de gestión de la Dirección Distrital de Asuntos Normativos</v>
          </cell>
          <cell r="Y20" t="str">
            <v>CRECIENTE</v>
          </cell>
          <cell r="Z20" t="str">
            <v>MENSUAL</v>
          </cell>
          <cell r="AA20" t="str">
            <v>EFICACIA</v>
          </cell>
          <cell r="AB20" t="str">
            <v>PROFESIONAL UNIVERSITARIO</v>
          </cell>
          <cell r="AC20" t="str">
            <v>PROFESIONAL UNIVERSITARIO</v>
          </cell>
          <cell r="AD20" t="str">
            <v>DIRECTOR(A) DISTRITAL DE DOCTRINA Y ASUNTOS NORMATIVOS</v>
          </cell>
          <cell r="AE20" t="str">
            <v>ND</v>
          </cell>
          <cell r="AF20">
            <v>1382</v>
          </cell>
          <cell r="AG20">
            <v>957</v>
          </cell>
          <cell r="AH20">
            <v>2871</v>
          </cell>
          <cell r="AI20">
            <v>3974</v>
          </cell>
          <cell r="AJ20" t="str">
            <v>ND</v>
          </cell>
          <cell r="AK20">
            <v>1692</v>
          </cell>
          <cell r="AL20">
            <v>57</v>
          </cell>
          <cell r="AM20"/>
          <cell r="AN20"/>
          <cell r="AO20">
            <v>27</v>
          </cell>
          <cell r="AP20">
            <v>90</v>
          </cell>
          <cell r="AQ20">
            <v>90</v>
          </cell>
          <cell r="AR20">
            <v>90</v>
          </cell>
          <cell r="AS20">
            <v>90</v>
          </cell>
          <cell r="AT20">
            <v>90</v>
          </cell>
          <cell r="AU20">
            <v>90</v>
          </cell>
          <cell r="AV20">
            <v>90</v>
          </cell>
          <cell r="AW20">
            <v>90</v>
          </cell>
          <cell r="AX20">
            <v>90</v>
          </cell>
          <cell r="AY20">
            <v>90</v>
          </cell>
          <cell r="AZ20">
            <v>30</v>
          </cell>
          <cell r="BA20">
            <v>37</v>
          </cell>
          <cell r="BB20">
            <v>20</v>
          </cell>
          <cell r="BC20"/>
          <cell r="BD20"/>
          <cell r="BE20"/>
          <cell r="BF20"/>
          <cell r="BG20"/>
          <cell r="BH20"/>
          <cell r="BI20"/>
          <cell r="BJ20"/>
          <cell r="BK20"/>
          <cell r="BL20"/>
          <cell r="BM20" t="str">
            <v>En Enero se desarrollaron  las actividades precontractuales, para consolidar la celebración de tres contratos de prestación de servicios
Se incorporan mejoras en las bases de datos de seguimiento de la publicación que realizan las entidades en legalbog y de la participación ciudadana.- Se reportaron 37 observaciones. Lo cual  se traduce en que según la programación mensual con esta cifra, la misma se eleva a un 137% de cumplimiento.
Durante este mes se publicaron 13  proyectos de actos administrativos en la plataforma LegalBog.
Se actualizaron las actividades para fortalecer la estrategia de participación ciudadana para lo cual se incorpora el balance de la vigencia 2021 reportado a los jurídicos cabezas de Sector.
Esta información se encuentra ampliada en el documento PDF que hace parte integral del informe.</v>
          </cell>
          <cell r="BN20" t="str">
            <v>En febrero se  reportaron 20 observaciones. Lo cual  se traduce en que según la programación mensual con esta cifra,  se eleva a un 22% de cumplimiento. 
Durante este mes se publicaron 17 proyectos de actos administrativos en la plataforma LegalBog.
Se remitieron oficios del comportamiento del mes de enero a los Sectores que publicaron en dicho mes y así mismo se remitió recapitulación de responsabilidades de las entidades del distrito frente a la plataforma LEGALBOG PARTICIPA  a los jurídicos cabezas de Sector.
En términos del incremento del 30% de la participación ciudadana, con el avance del mes de enero, teniendo en cuenta la programación de la Meta, el indicador refleja un    1,8% de incremento</v>
          </cell>
          <cell r="BO20"/>
          <cell r="BP20"/>
          <cell r="BQ20"/>
          <cell r="BR20"/>
          <cell r="BS20"/>
          <cell r="BT20"/>
          <cell r="BU20"/>
          <cell r="BV20"/>
          <cell r="BW20"/>
          <cell r="BX20"/>
        </row>
        <row r="21">
          <cell r="E21" t="str">
            <v>INCREMENTO DE LA PARTICIPACIÓN CIUDADANA EN LA FORMULACIÓN DE OBSERVACIONES FRENTE A LOS PROYECTOS DE ACTOS ADMINISTRATIVOS DISTRITALES."</v>
          </cell>
          <cell r="F21" t="str">
            <v>DIRECCIÓN DISTRITAL DE DOCTRINA Y ASUNTOS NORMATIVOS</v>
          </cell>
          <cell r="G21" t="str">
            <v>MONITOREAR LA PARTICIPACIÓN CIUDADANA EN TORNO A LA EXPEDICIÓN DE ACTOS ADMINISTRATIVOS DISTRITALES</v>
          </cell>
          <cell r="H21" t="str">
            <v xml:space="preserve">RESPALDO JURÍDICO QUE GENERA CONFIANZA. </v>
          </cell>
          <cell r="I21" t="str">
            <v>GESTIÓN NORMATIVA Y CONCEPTUAL</v>
          </cell>
          <cell r="J21" t="str">
            <v>ACTIVO</v>
          </cell>
          <cell r="K21" t="str">
            <v>PLAN DE DESARROLLO</v>
          </cell>
          <cell r="L21" t="str">
            <v>PROYECTO DE INVERSIÓN</v>
          </cell>
          <cell r="M21"/>
          <cell r="N21"/>
          <cell r="O21" t="str">
            <v>(Sumatoria de las observaciones revisadas a los actos administrativos) / (Total de proyectos de actos administrativos con observaciones presentadas por la ciudadanía y/o partes interesadas , multiplicado por el factor de participació esperado) *100</v>
          </cell>
          <cell r="P21" t="str">
            <v>Porcentaje de participación</v>
          </cell>
          <cell r="Q21" t="str">
            <v>Sumatoria de las observaciones revisadas a los actos administrativos</v>
          </cell>
          <cell r="R21" t="str">
            <v>Total de proyectos de actos administrativos con observaciones presentadas por la ciudadanía y/o partes interesadas , multiplicado por el factor de participació esperado</v>
          </cell>
          <cell r="S21" t="str">
            <v>Son las observaciones que fueron objeto de revisión por parte del sector que presenta el proyecto de acto administrativo para revisión de legalidad, y sobre las cuales se analizan para ser acogidas o no, en el cuerpo del acto administrativo</v>
          </cell>
          <cell r="T21" t="str">
            <v>Corresponde al total de observaciones allegadas que surgen por parte de la ciudadanía y/o partes interesadas, con ocasión a la publicación de los actos administrativos (decretos, resoluciones, directivas, circulares, entre otros), de interés para el Distrito Capital, multiplicado por el factor de participación esperado</v>
          </cell>
          <cell r="U21" t="str">
            <v>Reporte LEGALBOG</v>
          </cell>
          <cell r="V21" t="str">
            <v>Informe mensual allegado a la SJD en medio magnético al correo correspondencia@secretariajuridica.gov.co</v>
          </cell>
          <cell r="W21">
            <v>36.729377713458753</v>
          </cell>
          <cell r="X21" t="str">
            <v>ND</v>
          </cell>
          <cell r="Y21" t="str">
            <v>CRECIENTE</v>
          </cell>
          <cell r="Z21" t="str">
            <v>MENSUAL</v>
          </cell>
          <cell r="AA21" t="str">
            <v>EFICACIA</v>
          </cell>
          <cell r="AB21" t="str">
            <v>PROFESIONAL UNIVERSITARIO</v>
          </cell>
          <cell r="AC21" t="str">
            <v>PROFESIONAL UNIVERSITARIO</v>
          </cell>
          <cell r="AD21" t="str">
            <v>DIRECTOR(A) DISTRITAL DE DOCTRINA Y ASUNTOS NORMATIVOS</v>
          </cell>
          <cell r="AE21" t="str">
            <v>ND</v>
          </cell>
          <cell r="AF21">
            <v>30</v>
          </cell>
          <cell r="AG21">
            <v>30</v>
          </cell>
          <cell r="AH21">
            <v>30</v>
          </cell>
          <cell r="AI21">
            <v>30</v>
          </cell>
          <cell r="AJ21" t="str">
            <v>ND</v>
          </cell>
          <cell r="AK21">
            <v>36.729377713458753</v>
          </cell>
          <cell r="AL21">
            <v>1.7868338557993728</v>
          </cell>
          <cell r="AM21"/>
          <cell r="AN21"/>
          <cell r="AO21">
            <v>0.85</v>
          </cell>
          <cell r="AP21">
            <v>2.82</v>
          </cell>
          <cell r="AQ21">
            <v>2.82</v>
          </cell>
          <cell r="AR21">
            <v>2.82</v>
          </cell>
          <cell r="AS21">
            <v>2.82</v>
          </cell>
          <cell r="AT21">
            <v>2.82</v>
          </cell>
          <cell r="AU21">
            <v>2.82</v>
          </cell>
          <cell r="AV21">
            <v>2.82</v>
          </cell>
          <cell r="AW21">
            <v>2.82</v>
          </cell>
          <cell r="AX21">
            <v>2.82</v>
          </cell>
          <cell r="AY21">
            <v>2.82</v>
          </cell>
          <cell r="AZ21">
            <v>0.94</v>
          </cell>
          <cell r="BA21">
            <v>1.1598746081504701E-2</v>
          </cell>
          <cell r="BB21">
            <v>6.269592476489028E-3</v>
          </cell>
          <cell r="BC21"/>
          <cell r="BD21"/>
          <cell r="BE21"/>
          <cell r="BF21"/>
          <cell r="BG21"/>
          <cell r="BH21"/>
          <cell r="BI21"/>
          <cell r="BJ21"/>
          <cell r="BK21"/>
          <cell r="BL21"/>
          <cell r="BM21" t="str">
            <v>En Enero se desarrollaron  las actividades precontractuales, para consolidar la celebración de tres contratos de prestación de servicios
Se incorporan mejoras en las bases de datos de seguimiento de la publicación que realizan las entidades en legalbog y de la participación ciudadana.- Se reportaron 37 observaciones. Lo cual  se traduce en que según la programación mensual con esta cifra, la misma se eleva a un 137% de cumplimiento.
Durante este mes se publicaron 13  proyectos de actos administrativos en la plataforma LegalBog.
Se actualizaron las actividades para fortalecer la estrategia de participación ciudadana para lo cual se incorpora el balance de la vigencia 2021 reportado a los jurídicos cabezas de Sector.
Esta información se encuentra ampliada en el documento PDF que hace parte integral del informe.</v>
          </cell>
          <cell r="BN21" t="str">
            <v>En febrero se  reportaron 20 observaciones. Lo cual  se traduce en que según la programación mensual con esta cifra,  se eleva a un 22% de cumplimiento. 
Durante este mes se publicaron 17 proyectos de actos administrativos en la plataforma LegalBog.
Se remitieron oficios del comportamiento del mes de enero a los Sectores que publicaron en dicho mes y así mismo se remitió recapitulación de responsabilidades de las entidades del distrito frente a la plataforma LEGALBOG PARTICIPA  a los jurídicos cabezas de Sector.
En términos del incremento del 30% de la participación ciudadana, con el avance del mes de enero, teniendo en cuenta la programación de la Meta, el indicador refleja un    1,8% de incremento</v>
          </cell>
          <cell r="BO21"/>
          <cell r="BP21"/>
          <cell r="BQ21"/>
          <cell r="BR21"/>
          <cell r="BS21"/>
          <cell r="BT21"/>
          <cell r="BU21"/>
          <cell r="BV21"/>
          <cell r="BW21"/>
          <cell r="BX21"/>
        </row>
        <row r="22">
          <cell r="E22" t="str">
            <v>PORCENTAJE DE OBSERVACIONES CIUDADANAS EN LOS PROYECTOS DE ACTOS ADMINISTRATIVOS DISTRITALES REVISADAS (PROMEDIO DE OBSERVACIONES CIUDADANAS EN LOS PROYECTOS DE ACTOS ADMINISTRATIVOS DISTRITALES)</v>
          </cell>
          <cell r="F22" t="str">
            <v>DIRECCIÓN DISTRITAL DE DOCTRINA Y ASUNTOS NORMATIVOS</v>
          </cell>
          <cell r="G22" t="str">
            <v>REALIZAR LAS CORRESPONDIENTES REVISIONES A LAS OBSERVACIONES PRESENTADAS POR LA CIUADADANÍA Y/O PARTES INTERESADAS.</v>
          </cell>
          <cell r="H22" t="str">
            <v>POSICIONAMIENTO COMO ENTE RECTOR</v>
          </cell>
          <cell r="I22" t="str">
            <v>GESTIÓN NORMATIVA Y CONCEPTUAL</v>
          </cell>
          <cell r="J22" t="str">
            <v>ACTIVO</v>
          </cell>
          <cell r="K22" t="str">
            <v>PLAN DE DESARROLLO</v>
          </cell>
          <cell r="L22" t="str">
            <v>PROYECTO DE INVERSIÓN</v>
          </cell>
          <cell r="M22"/>
          <cell r="N22"/>
          <cell r="O22" t="str">
            <v>(Sumatoria del número de observaciones realizadas por la ciudadanía y/o partes interesadas revisadas en el período) / (Sumatoria del número de observaciones realizadas por la ciudadanía y/o partes interesadas en el período)*100</v>
          </cell>
          <cell r="P22" t="str">
            <v>Revisiones</v>
          </cell>
          <cell r="Q22" t="str">
            <v>Sumatoria del número de observaciones realizadas por la ciudadanía y/o partes interesadas revisadas en el período</v>
          </cell>
          <cell r="R22" t="str">
            <v>Sumatoria del número de observaciones realizadas por la ciudadanía y/o partes interesadas en el período</v>
          </cell>
          <cell r="S22" t="str">
            <v>Corresponde al total de observaciones presentadas por la ciudadanía y/o partes interesadas revisadas</v>
          </cell>
          <cell r="T22" t="str">
            <v>Corresponde al total de observaciones presentadas por la ciudadanía y/o partes interesadas</v>
          </cell>
          <cell r="U22" t="str">
            <v>Reporte LEGALBOG</v>
          </cell>
          <cell r="V22" t="str">
            <v>Informe mensual allegado a la SJD en medio magnético al correo correspondencia@secretariajuridica.gov.co</v>
          </cell>
          <cell r="W22">
            <v>100</v>
          </cell>
          <cell r="X22" t="str">
            <v>N.A.</v>
          </cell>
          <cell r="Y22" t="str">
            <v>CONSTANTE</v>
          </cell>
          <cell r="Z22" t="str">
            <v>MENSUAL</v>
          </cell>
          <cell r="AA22" t="str">
            <v>EFICACIA</v>
          </cell>
          <cell r="AB22" t="str">
            <v>PROFESIONAL UNIVERSITARIO</v>
          </cell>
          <cell r="AC22" t="str">
            <v>PROFESIONAL UNIVERSITARIO</v>
          </cell>
          <cell r="AD22" t="str">
            <v>DIRECTOR(A) DISTRITAL DE DOCTRINA Y ASUNTOS NORMATIVOS</v>
          </cell>
          <cell r="AE22" t="str">
            <v>ND</v>
          </cell>
          <cell r="AF22">
            <v>100</v>
          </cell>
          <cell r="AG22">
            <v>100</v>
          </cell>
          <cell r="AH22">
            <v>100</v>
          </cell>
          <cell r="AI22">
            <v>100</v>
          </cell>
          <cell r="AJ22" t="str">
            <v>ND</v>
          </cell>
          <cell r="AK22">
            <v>100</v>
          </cell>
          <cell r="AL22">
            <v>100</v>
          </cell>
          <cell r="AM22"/>
          <cell r="AN22"/>
          <cell r="AO22">
            <v>100</v>
          </cell>
          <cell r="AP22">
            <v>100</v>
          </cell>
          <cell r="AQ22">
            <v>100</v>
          </cell>
          <cell r="AR22">
            <v>100</v>
          </cell>
          <cell r="AS22">
            <v>100</v>
          </cell>
          <cell r="AT22">
            <v>100</v>
          </cell>
          <cell r="AU22">
            <v>100</v>
          </cell>
          <cell r="AV22">
            <v>100</v>
          </cell>
          <cell r="AW22">
            <v>100</v>
          </cell>
          <cell r="AX22">
            <v>100</v>
          </cell>
          <cell r="AY22">
            <v>100</v>
          </cell>
          <cell r="AZ22">
            <v>100</v>
          </cell>
          <cell r="BA22">
            <v>100</v>
          </cell>
          <cell r="BB22">
            <v>100</v>
          </cell>
          <cell r="BC22"/>
          <cell r="BD22"/>
          <cell r="BE22"/>
          <cell r="BF22"/>
          <cell r="BG22"/>
          <cell r="BH22"/>
          <cell r="BI22"/>
          <cell r="BJ22"/>
          <cell r="BK22"/>
          <cell r="BL22"/>
          <cell r="BM22" t="str">
            <v>De las 37 observaciones que se reportan para este mes se identificó 1 incidencia positiva de los comentarios realizados por la ciudadanía lo que permite concluir que el 3%  de las observaciones fueron tenidas en cuenta para el mejoramiento de la gestión normativa distrital. En el mes de enero se expidieron 10 Decretos.</v>
          </cell>
          <cell r="BN22" t="str">
            <v xml:space="preserve">De las 20 observaciones que se reportan para el mes de febrero se identificaron ocho (8) incidencias positivas de los comentarios realizados por la ciudadanía, lo que permite concluir que el 40% de los comentarios fueron tenidos en cuenta para el mejoramiento de la gestión normativa distrital. 
De los proyectos de actos administrativos que fueron objeto de publicación se expidieron 9 decretos en el mes de febrero de 2022.
</v>
          </cell>
          <cell r="BO22"/>
          <cell r="BP22"/>
          <cell r="BQ22"/>
          <cell r="BR22"/>
          <cell r="BS22"/>
          <cell r="BT22"/>
          <cell r="BU22"/>
          <cell r="BV22"/>
          <cell r="BW22"/>
          <cell r="BX22"/>
        </row>
        <row r="23">
          <cell r="E23" t="str">
            <v>Porcentaje de solicitudes de revisión de legalidad de proyectos de actos administrativos para firma de la alcaldesa mayor</v>
          </cell>
          <cell r="F23" t="str">
            <v>DIRECCIÓN DISTRITAL DE DOCTRINA Y ASUNTOS NORMATIVOS</v>
          </cell>
          <cell r="G23" t="str">
            <v>REALIZAR SEGUIMIENTO AL PORCENTAJE DE REVISIONES DE LEGALIDAD A LOS PROYECTOS DE ACTOS ADMINISTRATIVOS PARA FIRMA DE LA ALCALDESA MAYOR.</v>
          </cell>
          <cell r="H23" t="str">
            <v xml:space="preserve">RESPALDO JURÍDICO QUE GENERA CONFIANZA. </v>
          </cell>
          <cell r="I23" t="str">
            <v>GESTIÓN NORMATIVA Y CONCEPTUAL</v>
          </cell>
          <cell r="J23" t="str">
            <v>ACTIVO</v>
          </cell>
          <cell r="K23" t="str">
            <v>PLAN DE GESTIÓN</v>
          </cell>
          <cell r="L23"/>
          <cell r="M23"/>
          <cell r="N23"/>
          <cell r="O23" t="str">
            <v>(Total de proyectos de actos administrativos para fiorma de la alcaldesa con revisión de legalidad en el período) / (Sumatoria del número de solicitudes para revisión de legalidad recibidas en el período) *100</v>
          </cell>
          <cell r="P23" t="str">
            <v>Actos con revisión de legalidad</v>
          </cell>
          <cell r="Q23" t="str">
            <v>Total de proyectos de actos administrativos para fiorma de la alcaldesa con revisión de legalidad en el período</v>
          </cell>
          <cell r="R23" t="str">
            <v>Sumatoria del número de solicitudes para revisión de legalidad recibidas en el período</v>
          </cell>
          <cell r="S23" t="str">
            <v>Corresponde al total de actos administrativos que cuentan con revisión de legalidad</v>
          </cell>
          <cell r="T23" t="str">
            <v>Corresponde al total de solicitudes de revisión de legalidad recibidas por la SJD y que son efectuadas por el sector central y descentralizado del Distrito Capital</v>
          </cell>
          <cell r="U23" t="str">
            <v>SIGA
Matriz de seguimiento
LEGALBOG</v>
          </cell>
          <cell r="V23" t="str">
            <v>SIGA
Matriz de seguimiento
LEGALBOG</v>
          </cell>
          <cell r="W23" t="str">
            <v>ND</v>
          </cell>
          <cell r="X23" t="str">
            <v>ND</v>
          </cell>
          <cell r="Y23" t="str">
            <v>CONSTANTE</v>
          </cell>
          <cell r="Z23" t="str">
            <v>TRIMESTRAL</v>
          </cell>
          <cell r="AA23" t="str">
            <v>EFICACIA</v>
          </cell>
          <cell r="AB23" t="str">
            <v>PROFESIONAL UNIVERSITARIO</v>
          </cell>
          <cell r="AC23" t="str">
            <v>PROFESIONAL UNIVERSITARIO</v>
          </cell>
          <cell r="AD23" t="str">
            <v>DIRECTOR(A) DISTRITAL DE DOCTRINA Y ASUNTOS NORMATIVOS</v>
          </cell>
          <cell r="AE23" t="str">
            <v>ND</v>
          </cell>
          <cell r="AF23">
            <v>100</v>
          </cell>
          <cell r="AG23">
            <v>100</v>
          </cell>
          <cell r="AH23">
            <v>100</v>
          </cell>
          <cell r="AI23">
            <v>100</v>
          </cell>
          <cell r="AJ23" t="str">
            <v>ND</v>
          </cell>
          <cell r="AK23">
            <v>100</v>
          </cell>
          <cell r="AL23" t="str">
            <v>ND</v>
          </cell>
          <cell r="AM23"/>
          <cell r="AN23"/>
          <cell r="AO23">
            <v>0</v>
          </cell>
          <cell r="AP23">
            <v>0</v>
          </cell>
          <cell r="AQ23">
            <v>100</v>
          </cell>
          <cell r="AR23">
            <v>0</v>
          </cell>
          <cell r="AS23">
            <v>0</v>
          </cell>
          <cell r="AT23">
            <v>100</v>
          </cell>
          <cell r="AU23">
            <v>0</v>
          </cell>
          <cell r="AV23">
            <v>0</v>
          </cell>
          <cell r="AW23">
            <v>100</v>
          </cell>
          <cell r="AX23">
            <v>0</v>
          </cell>
          <cell r="AY23">
            <v>0</v>
          </cell>
          <cell r="AZ23">
            <v>100</v>
          </cell>
          <cell r="BA23"/>
          <cell r="BB23"/>
          <cell r="BC23"/>
          <cell r="BD23"/>
          <cell r="BE23"/>
          <cell r="BF23"/>
          <cell r="BG23"/>
          <cell r="BH23"/>
          <cell r="BI23"/>
          <cell r="BJ23"/>
          <cell r="BK23"/>
          <cell r="BL23"/>
          <cell r="BM23"/>
          <cell r="BN23"/>
          <cell r="BO23"/>
          <cell r="BP23"/>
          <cell r="BQ23"/>
          <cell r="BR23"/>
          <cell r="BS23"/>
          <cell r="BT23"/>
          <cell r="BU23"/>
          <cell r="BV23"/>
          <cell r="BW23"/>
          <cell r="BX23"/>
        </row>
        <row r="24">
          <cell r="E24" t="str">
            <v>533- NIVEL DE ÉXITO PROCESAL EN EL DISTRITO CAPITAL</v>
          </cell>
          <cell r="F24" t="str">
            <v xml:space="preserve">DIRECCIÓN DISTRITAL DE GESTIÓN JUDICIAL </v>
          </cell>
          <cell r="G24" t="str">
            <v>MEDIR EL PORCENTAJE DE PROCESOS CON FALLO A FAVOR DEL DISTRITO CAPITAL</v>
          </cell>
          <cell r="H24" t="str">
            <v xml:space="preserve">RESPALDO JURÍDICO QUE GENERA CONFIANZA. </v>
          </cell>
          <cell r="I24" t="str">
            <v>GESTIÓN JUDICIAL</v>
          </cell>
          <cell r="J24" t="str">
            <v>ACTIVO</v>
          </cell>
          <cell r="K24" t="str">
            <v>PLAN DE DESARROLLO</v>
          </cell>
          <cell r="L24" t="str">
            <v>PROYECTO DE INVERSIÓN</v>
          </cell>
          <cell r="M24" t="str">
            <v>PRODUCTO</v>
          </cell>
          <cell r="N24"/>
          <cell r="O24" t="str">
            <v>(Número de procesos terminado con fallo favorable para el DC / Total de procesos terminados dentro del período de análisis) *100</v>
          </cell>
          <cell r="P24" t="str">
            <v>Procesos</v>
          </cell>
          <cell r="Q24" t="str">
            <v>Número de procesos terminado con falloo favorable para el DC</v>
          </cell>
          <cell r="R24" t="str">
            <v>Total de procesos terminados dentro del período de análisis</v>
          </cell>
          <cell r="S24" t="str">
            <v>Comprende los procesos terminados con fallo favorable para el DC, registrados dentro de un período determinado.</v>
          </cell>
          <cell r="T24" t="str">
            <v>Comprende todos los procesos terminados para el D.C., regitrados dentro de un período determinado</v>
          </cell>
          <cell r="U24" t="str">
            <v>SIPROJWEB/ LEGALBOG</v>
          </cell>
          <cell r="V24" t="str">
            <v>SIPROJWEB/ LEGALBOG</v>
          </cell>
          <cell r="W24">
            <v>88.32</v>
          </cell>
          <cell r="X24" t="str">
            <v>SIPROJWEB/ Informe de Gestión DDGJ 2020</v>
          </cell>
          <cell r="Y24" t="str">
            <v>CONSTANTE</v>
          </cell>
          <cell r="Z24" t="str">
            <v>MENSUAL</v>
          </cell>
          <cell r="AA24" t="str">
            <v>EFECTIVIDAD</v>
          </cell>
          <cell r="AB24" t="str">
            <v>PROFESIONAL UNIVERSITARIO GRADO 18</v>
          </cell>
          <cell r="AC24" t="str">
            <v>PROFESIONAL UNIVERSITARIO GRADO 18</v>
          </cell>
          <cell r="AD24" t="str">
            <v xml:space="preserve">Director(a) de Gestión Judicial </v>
          </cell>
          <cell r="AE24">
            <v>83</v>
          </cell>
          <cell r="AF24">
            <v>83</v>
          </cell>
          <cell r="AG24">
            <v>83</v>
          </cell>
          <cell r="AH24">
            <v>83</v>
          </cell>
          <cell r="AI24">
            <v>83</v>
          </cell>
          <cell r="AJ24">
            <v>87.37</v>
          </cell>
          <cell r="AK24">
            <v>88.32</v>
          </cell>
          <cell r="AL24">
            <v>87.88</v>
          </cell>
          <cell r="AM24"/>
          <cell r="AN24"/>
          <cell r="AO24">
            <v>83</v>
          </cell>
          <cell r="AP24">
            <v>83</v>
          </cell>
          <cell r="AQ24">
            <v>83</v>
          </cell>
          <cell r="AR24">
            <v>83</v>
          </cell>
          <cell r="AS24">
            <v>83</v>
          </cell>
          <cell r="AT24">
            <v>83</v>
          </cell>
          <cell r="AU24">
            <v>83</v>
          </cell>
          <cell r="AV24">
            <v>83</v>
          </cell>
          <cell r="AW24">
            <v>83</v>
          </cell>
          <cell r="AX24">
            <v>83</v>
          </cell>
          <cell r="AY24">
            <v>83</v>
          </cell>
          <cell r="AZ24">
            <v>83</v>
          </cell>
          <cell r="BA24">
            <v>88.05</v>
          </cell>
          <cell r="BB24">
            <v>87.88</v>
          </cell>
          <cell r="BC24"/>
          <cell r="BD24"/>
          <cell r="BE24"/>
          <cell r="BF24"/>
          <cell r="BG24"/>
          <cell r="BH24"/>
          <cell r="BI24"/>
          <cell r="BJ24"/>
          <cell r="BK24"/>
          <cell r="BL24"/>
          <cell r="BM24" t="str">
            <v>De conformidad con la información registrada en el Sistema de Información de Procesos Judiciales de Bogotá D.C. – SIPROJWEB, para el período comprendido entre el 01-01-2020 hasta el 31-01-2022 se obtuvo un Éxito Procesal Cuantitativo del 88,05%, que corresponde a la proporción entre, los 33.157 procesos terminados que fueron fallados a favor del Distrito Capital y el total de procesos terminados durante el período de reporte (a favor y en contra), equivalentes a 37.658 procesos.
De esta manera, durante el periodo objeto de reporte, se superó la meta propuesta representada en la cantidad de procesos terminados favorablemente para el Distrito Capital, considerando que la línea base corresponde a un 83%.
Tomando los mismos parámetros de selección de información para determinar el éxito procesal cuantitativo, la Eficiencia Fiscal o Éxito Procesal Cualitativo corresponde a un 92%, el cual representa la proporción entre el valor de las pretensiones indexadas de los procesos terminados con fallo a favor de las entidades del Distrito Capital por    $  5.093.265.849.659    y el valor de las pretensiones indexadas del total de los procesos fallados (tanto a favor como en contra) por   $  5.530.230.748.291 .</v>
          </cell>
          <cell r="BN24" t="str">
            <v>De conformidad con la información registrada en el Sistema de Información de Procesos Judiciales de Bogotá D.C. – SIPROJWEB, para el período comprendido entre el 01-01-2020 hasta el 28-02-2022 se obtuvo un Éxito Procesal Cuantitativo del 87,88%, que corresponde a la proporción entre, los 34.962 procesos terminados que fueron fallados a favor del Distrito Capital y el total de procesos terminados durante el período de reporte (a favor y en contra), equivalentes a 39.784 procesos. 
De esta manera, durante el periodo objeto de reporte, se superó la meta propuesta representada en la cantidad de procesos terminados favorablemente para el Distrito Capital, considerando que la línea base corresponde a un 83%. 
Tomando los mismos parámetros de selección de información para determinar el éxito procesal cuantitativo, y como se observa en la gráfica No 2, la Eficiencia Fiscal o Éxito Procesal Cualitativo corresponde a un 91.71%, el cual representa la proporción entre el valor de las pretensiones indexadas de los procesos terminados con fallo a favor de las entidades del Distrito Capital por    $  5.244.141.428.792 y el valor de las pretensiones indexadas del total de los procesos fallados (tanto a favor como en contra) por   $  5.718.031.695.882.</v>
          </cell>
          <cell r="BO24"/>
          <cell r="BP24"/>
          <cell r="BQ24"/>
          <cell r="BR24"/>
          <cell r="BS24"/>
          <cell r="BT24"/>
          <cell r="BU24"/>
          <cell r="BV24"/>
          <cell r="BW24"/>
          <cell r="BX24"/>
        </row>
        <row r="25">
          <cell r="E25" t="str">
            <v xml:space="preserve">PORCENTAJE DE SEGUIMIENTOS REALIZADOS A LA INFORMACIÓN REGISTRADA EN EL SIPROJ AL 100% DE LAS ENTIDADES DISTRITALES </v>
          </cell>
          <cell r="F25" t="str">
            <v xml:space="preserve">DIRECCIÓN DISTRITAL DE GESTIÓN JUDICIAL </v>
          </cell>
          <cell r="G25" t="str">
            <v>HACER SEGUIMIENTO DE LA INFORMACIÓN  DE LOS PROCESOS JUDICIALES Y EXTAJUDICIALES REGISTRADA EN SIPROJ POR  CADA UNA DE LAS ENTIDADES DISTRITALES.</v>
          </cell>
          <cell r="H25" t="str">
            <v>POSICIONAMIENTO COMO ENTE RECTOR</v>
          </cell>
          <cell r="I25" t="str">
            <v>GESTIÓN JUDICIAL</v>
          </cell>
          <cell r="J25" t="str">
            <v>ACTIVO</v>
          </cell>
          <cell r="K25" t="str">
            <v>PLAN DE GESTIÓN</v>
          </cell>
          <cell r="L25" t="str">
            <v>PROCESOS</v>
          </cell>
          <cell r="M25"/>
          <cell r="N25"/>
          <cell r="O25" t="str">
            <v>(Sumatoria de seguimientos realizados a la información registrada en SIPROJ a las entidades distritales / Total de los seguimientos programados en la vigencia) *100</v>
          </cell>
          <cell r="P25" t="str">
            <v xml:space="preserve">Seguimientos </v>
          </cell>
          <cell r="Q25" t="str">
            <v>Sumatoria de seguimientos realizados a la información registrada en SIPROJ a las entidades distritales</v>
          </cell>
          <cell r="R25" t="str">
            <v>Total de seguimientos programados en la vigencia</v>
          </cell>
          <cell r="S25" t="str">
            <v>Actividades de seguimiento a la información registrada a las entidades distritales en el sistema SIPROJ</v>
          </cell>
          <cell r="T25" t="str">
            <v>Total de las actividades programadas en el marco de los seguimientos de ka información registrada en SIPROJ, a las entidades distritales para el mejoramiento de la información</v>
          </cell>
          <cell r="U25" t="str">
            <v>Actas de compromiso y seguimiento de la información de cada una de las entidades distritales</v>
          </cell>
          <cell r="V25" t="str">
            <v>Circular con cronograma de mesas de trabajo - Actas de reunión</v>
          </cell>
          <cell r="W25" t="str">
            <v>ND</v>
          </cell>
          <cell r="X25" t="str">
            <v>ND</v>
          </cell>
          <cell r="Y25" t="str">
            <v>CONSTANTE</v>
          </cell>
          <cell r="Z25" t="str">
            <v>TRIMESTRAL</v>
          </cell>
          <cell r="AA25" t="str">
            <v>EFICACIA</v>
          </cell>
          <cell r="AB25" t="str">
            <v>PROFESIONAL UNIVERSITARIO GRADO 18</v>
          </cell>
          <cell r="AC25" t="str">
            <v>PROFESIONAL UNIVERSITARIO GRADO 18</v>
          </cell>
          <cell r="AD25" t="str">
            <v>Director(a) de Gestión Judicial</v>
          </cell>
          <cell r="AE25"/>
          <cell r="AF25">
            <v>100</v>
          </cell>
          <cell r="AG25">
            <v>100</v>
          </cell>
          <cell r="AH25">
            <v>100</v>
          </cell>
          <cell r="AI25">
            <v>100</v>
          </cell>
          <cell r="AJ25"/>
          <cell r="AK25">
            <v>100</v>
          </cell>
          <cell r="AL25" t="str">
            <v>ND</v>
          </cell>
          <cell r="AM25"/>
          <cell r="AN25"/>
          <cell r="AO25">
            <v>0</v>
          </cell>
          <cell r="AP25">
            <v>0</v>
          </cell>
          <cell r="AQ25">
            <v>100</v>
          </cell>
          <cell r="AR25">
            <v>0</v>
          </cell>
          <cell r="AS25">
            <v>0</v>
          </cell>
          <cell r="AT25">
            <v>100</v>
          </cell>
          <cell r="AU25">
            <v>0</v>
          </cell>
          <cell r="AV25">
            <v>0</v>
          </cell>
          <cell r="AW25">
            <v>100</v>
          </cell>
          <cell r="AX25">
            <v>0</v>
          </cell>
          <cell r="AY25">
            <v>0</v>
          </cell>
          <cell r="AZ25">
            <v>100</v>
          </cell>
          <cell r="BA25"/>
          <cell r="BB25"/>
          <cell r="BC25"/>
          <cell r="BD25"/>
          <cell r="BE25"/>
          <cell r="BF25"/>
          <cell r="BG25"/>
          <cell r="BH25"/>
          <cell r="BI25"/>
          <cell r="BJ25"/>
          <cell r="BK25"/>
          <cell r="BL25"/>
          <cell r="BM25"/>
          <cell r="BN25"/>
          <cell r="BO25"/>
          <cell r="BP25"/>
          <cell r="BQ25"/>
          <cell r="BR25"/>
          <cell r="BS25"/>
          <cell r="BT25"/>
          <cell r="BU25"/>
          <cell r="BV25"/>
          <cell r="BW25"/>
          <cell r="BX25"/>
        </row>
        <row r="26">
          <cell r="E26" t="str">
            <v>Porcentaje de procesos judiciales y extrajudiciales de la D.D.G.J. representados juridicamente por la D.D.G.J.</v>
          </cell>
          <cell r="F26" t="str">
            <v xml:space="preserve">DIRECCIÓN DISTRITAL DE GESTIÓN JUDICIAL </v>
          </cell>
          <cell r="G26" t="str">
            <v>MEDIR Y HACER SEGUIMIENTO A LAS ACTUACIONES PROCESALES ANTE LOS DESPACHOS JUDICIALES, LA PROYECCIÓN Y PRESENTACIÓN DE DOCUMENTOS NECESARIOS PARA LA ADECUADA REPRESENTACIÓN Y DEFENSA DE LOS INTERESES DEL D.C, LA ELABORACIÓN Y PRESENTACIÓN DE FICHAS O ESTUDIOS ANTE LOS COMITÉS DE CONCILIACIÓN, LA PRESENTACIÓN DE INFORMES Y REGISTRO DE TODOS LOS MOVIMIENTOS EN EL SISTEMA DE INFORMACIÓN DE PROCESOS JUDICIALES.</v>
          </cell>
          <cell r="H26" t="str">
            <v xml:space="preserve">RESPALDO JURÍDICO QUE GENERA CONFIANZA. </v>
          </cell>
          <cell r="I26" t="str">
            <v>GESTIÓN JUDICIAL</v>
          </cell>
          <cell r="J26" t="str">
            <v>ACTIVO</v>
          </cell>
          <cell r="K26" t="str">
            <v>PLAN DE GESTIÓN</v>
          </cell>
          <cell r="L26" t="str">
            <v>PROCESOS</v>
          </cell>
          <cell r="M26"/>
          <cell r="N26"/>
          <cell r="O26" t="str">
            <v>(Sumatoria del número de procesos representados judicial y extrajudicialmente de la DDGJ / Total de procesos a representar en lo judicial y extrajudicialmente) *100</v>
          </cell>
          <cell r="P26" t="str">
            <v>Procesos</v>
          </cell>
          <cell r="Q26" t="str">
            <v>Cantidad de procezoz representados judicial y extrajudicialmente por la SJD</v>
          </cell>
          <cell r="R26" t="str">
            <v>Total de procesos registrados para que sean representados judicial y extrajudicialmente por la SJD</v>
          </cell>
          <cell r="S26" t="str">
            <v>Procesos entregados a los abogados, mediante poder para ejercer la representación judicial y extrajudicial del D.C.</v>
          </cell>
          <cell r="T26" t="str">
            <v>Procesos notificados, los cuales cumplen con las condiciones oara ser representados judicial y extrajudicialmente por parte de la SJD, una de las condiciones es que sean de alto impacto para el D.C., ya sea económico o social.</v>
          </cell>
          <cell r="U26" t="str">
            <v>SIPROJWEB</v>
          </cell>
          <cell r="V26" t="str">
            <v>SIPROJWEB</v>
          </cell>
          <cell r="W26">
            <v>100</v>
          </cell>
          <cell r="X26" t="str">
            <v>Informe de Gestión DDGJ 2020</v>
          </cell>
          <cell r="Y26" t="str">
            <v>CONSTANTE</v>
          </cell>
          <cell r="Z26" t="str">
            <v>TRIMESTRAL</v>
          </cell>
          <cell r="AA26" t="str">
            <v>EFICACIA</v>
          </cell>
          <cell r="AB26" t="str">
            <v>PROFESIONAL UNIVERSITARIO GRADO 18</v>
          </cell>
          <cell r="AC26" t="str">
            <v>PROFESIONAL UNIVERSITARIO GRADO 18</v>
          </cell>
          <cell r="AD26" t="str">
            <v xml:space="preserve">Director(a) de Gestión Judicial </v>
          </cell>
          <cell r="AE26"/>
          <cell r="AF26">
            <v>100</v>
          </cell>
          <cell r="AG26">
            <v>100</v>
          </cell>
          <cell r="AH26">
            <v>100</v>
          </cell>
          <cell r="AI26">
            <v>100</v>
          </cell>
          <cell r="AJ26"/>
          <cell r="AK26">
            <v>100</v>
          </cell>
          <cell r="AL26" t="str">
            <v>ND</v>
          </cell>
          <cell r="AM26"/>
          <cell r="AN26"/>
          <cell r="AO26">
            <v>0</v>
          </cell>
          <cell r="AP26">
            <v>0</v>
          </cell>
          <cell r="AQ26">
            <v>100</v>
          </cell>
          <cell r="AR26">
            <v>0</v>
          </cell>
          <cell r="AS26">
            <v>0</v>
          </cell>
          <cell r="AT26">
            <v>100</v>
          </cell>
          <cell r="AU26">
            <v>0</v>
          </cell>
          <cell r="AV26">
            <v>0</v>
          </cell>
          <cell r="AW26">
            <v>100</v>
          </cell>
          <cell r="AX26">
            <v>0</v>
          </cell>
          <cell r="AY26">
            <v>0</v>
          </cell>
          <cell r="AZ26">
            <v>100</v>
          </cell>
          <cell r="BA26"/>
          <cell r="BB26"/>
          <cell r="BC26"/>
          <cell r="BD26"/>
          <cell r="BE26"/>
          <cell r="BF26"/>
          <cell r="BG26"/>
          <cell r="BH26"/>
          <cell r="BI26"/>
          <cell r="BJ26"/>
          <cell r="BK26"/>
          <cell r="BL26"/>
          <cell r="BM26"/>
          <cell r="BN26"/>
          <cell r="BO26"/>
          <cell r="BP26"/>
          <cell r="BQ26"/>
          <cell r="BR26"/>
          <cell r="BS26"/>
          <cell r="BT26"/>
          <cell r="BU26"/>
          <cell r="BV26"/>
          <cell r="BW26"/>
          <cell r="BX26"/>
        </row>
        <row r="27">
          <cell r="E27" t="str">
            <v>540 - NÚMERO DE ENTIDADES SIN ÁNIMO DE LUCRO IDENTIFICADAS CON INFORMACIÓN CONFIABLE, RESPECTO DE SUS OBLIGACIONES JURÍDICAS Y FINANCIERAS</v>
          </cell>
          <cell r="F27" t="str">
            <v xml:space="preserve">DIRECCIÓN DISTRITAL DE INSPECCIÓN, VIGILANCIA Y CONTROL </v>
          </cell>
          <cell r="G27" t="str">
            <v>VERIFICAR LA INFORMACIÓN DE LAS ESAL EVALUANDO EL CUMPLIMIENTO DE SUS OBLIGACIONES LEGALES Y FINANCIERAS CON EL ENTE DE CONTROL.</v>
          </cell>
          <cell r="H27" t="str">
            <v>POSICIONAMIENTO COMO ENTE RECTOR</v>
          </cell>
          <cell r="I27" t="str">
            <v>INSPECCIÓN VIGILANCIA Y CONTROL ESAL</v>
          </cell>
          <cell r="J27" t="str">
            <v>ACTIVO</v>
          </cell>
          <cell r="K27" t="str">
            <v>PLAN DE DESARROLLO</v>
          </cell>
          <cell r="L27" t="str">
            <v>PROYECTO DE INVERSIÓN</v>
          </cell>
          <cell r="M27" t="str">
            <v>PRODUCTO</v>
          </cell>
          <cell r="N27"/>
          <cell r="O27" t="str">
            <v>Sumatoria del número de Entidades Sin Ánimo de Lucro a las cuáles se les verificó información respecto de sus obligaciones jurídicas y financieras</v>
          </cell>
          <cell r="P27" t="str">
            <v>Entidades Sin Ánimo de Lucro ESAL</v>
          </cell>
          <cell r="Q27" t="str">
            <v>Entidades Sin Ánimo de Lucro a las cuáles se les verificó información respecto de sus obligaciones jurídicas y financieras</v>
          </cell>
          <cell r="R27" t="str">
            <v>N.A.</v>
          </cell>
          <cell r="S27" t="str">
            <v>De la base de datos de ESAL se realiza análisis financiero y jurídico y se verifica la documentación allegada por las ESAL al ente de control determinando las acciones legales a adelantar, posteriormente se evalúa el cumplimiento por parte de la ESAL y se determina el estado de cumplimiento con el ente de control</v>
          </cell>
          <cell r="T27" t="str">
            <v>N.A.</v>
          </cell>
          <cell r="U27" t="str">
            <v>Base de datos de las ESAL registradas en la Cámara de Comercio de Bogotá y el SIPEJ</v>
          </cell>
          <cell r="V27" t="str">
            <v>N.A.</v>
          </cell>
          <cell r="W27">
            <v>2432</v>
          </cell>
          <cell r="X27" t="str">
            <v>No aplica</v>
          </cell>
          <cell r="Y27" t="str">
            <v>SUMA</v>
          </cell>
          <cell r="Z27" t="str">
            <v>MENSUAL</v>
          </cell>
          <cell r="AA27" t="str">
            <v>EFICACIA</v>
          </cell>
          <cell r="AB27" t="str">
            <v>PROFESIONAL ESPECIALIZADO Y/O UNIVERSITARIO</v>
          </cell>
          <cell r="AC27" t="str">
            <v>Profesional o contratista designado</v>
          </cell>
          <cell r="AD27" t="str">
            <v>DIRECTOR(A)</v>
          </cell>
          <cell r="AE27">
            <v>800</v>
          </cell>
          <cell r="AF27">
            <v>2400</v>
          </cell>
          <cell r="AG27">
            <v>2400</v>
          </cell>
          <cell r="AH27">
            <v>2400</v>
          </cell>
          <cell r="AI27">
            <v>1000</v>
          </cell>
          <cell r="AJ27">
            <v>1183</v>
          </cell>
          <cell r="AK27">
            <v>2432</v>
          </cell>
          <cell r="AL27">
            <v>248</v>
          </cell>
          <cell r="AM27"/>
          <cell r="AN27"/>
          <cell r="AO27">
            <v>0</v>
          </cell>
          <cell r="AP27">
            <v>250</v>
          </cell>
          <cell r="AQ27">
            <v>250</v>
          </cell>
          <cell r="AR27">
            <v>250</v>
          </cell>
          <cell r="AS27">
            <v>250</v>
          </cell>
          <cell r="AT27">
            <v>250</v>
          </cell>
          <cell r="AU27">
            <v>250</v>
          </cell>
          <cell r="AV27">
            <v>250</v>
          </cell>
          <cell r="AW27">
            <v>250</v>
          </cell>
          <cell r="AX27">
            <v>250</v>
          </cell>
          <cell r="AY27">
            <v>150</v>
          </cell>
          <cell r="AZ27">
            <v>0</v>
          </cell>
          <cell r="BA27">
            <v>0</v>
          </cell>
          <cell r="BB27">
            <v>248</v>
          </cell>
          <cell r="BC27"/>
          <cell r="BD27"/>
          <cell r="BE27"/>
          <cell r="BF27"/>
          <cell r="BG27"/>
          <cell r="BH27"/>
          <cell r="BI27"/>
          <cell r="BJ27"/>
          <cell r="BK27"/>
          <cell r="BL27"/>
          <cell r="BM27" t="str">
            <v>La ausencia de una programación para enero de 2022 obedece a la realidad institucional que abordan la mayoría de entidades sin ánimo de lucro. En efecto, durante diciembre y enero, sus esfuerzos suelen estar concentrados en la generación de informes de cierre de ejercicio y de su gestión para los distintos actores sociales e institucionales, así como la preparación de documentos de inicio de vigencia y reportes para la sesión del máximo órgano de la entidad.</v>
          </cell>
          <cell r="BN27" t="str">
            <v>•        162 ESAL que una vez verificado el estado actual se evidencia que no han dado cumplimiento a sus obligaciones, por lo cual, se realizó el primer requerimiento de los documentos faltantes que al 65% del total de las ESAL revisadas.
•        86 ESAL que, una vez verificado el estado actual, se evidencia que dieron cumplimiento a sus obligaciones, quedando al día que equivale a un 35%. 
Con la revisión y análisis de las obligaciones legales, contables y financieras, se viene logrando que las entidades sin ánimo de lucro, domiciliadas en Bogotá, normalicen su estado frente al ente control, atendiendo lo establecido en el Decreto No. 848 de 2019 “Por el cual se unifica la normativa sobre las actuaciones y los trámites asociados a la competencia de registro y a la asignación de funciones en materia de inspección vigilancia y control sobre entidades sin ánimo de lucro domiciliadas en el Distrito Capital y se dictan otras disposiciones”.
Con la verificación, análisis y revisión se puede determinar el estado actual de las ESAL, para lo cual se hacen requerimientos y otras gestiones, con los cuales se espera lograr un mayor nivel de respuesta efectiva por parte de la Secretaria Jurídica Distrital.
Retrasos y acciones tomadas para esta meta:
De acuerdo con la programación establecida para el mes de febrero de 2022 se presenta un retraso únicamente de 2 entidades por analizar, se espera cumplir con la meta establecida en el periodo siguiente.</v>
          </cell>
          <cell r="BO27"/>
          <cell r="BP27"/>
          <cell r="BQ27"/>
          <cell r="BR27"/>
          <cell r="BS27"/>
          <cell r="BT27"/>
          <cell r="BU27"/>
          <cell r="BV27"/>
          <cell r="BW27"/>
          <cell r="BX27"/>
        </row>
        <row r="28">
          <cell r="E28" t="str">
            <v>582 - NÚMERO DE CIUDADANOS ORIENTADOS EN ASPECTOS JURÍDICOS, FINANCIEROS Y DE INSPECCIÓN VIGILANCIA Y CONTROL DE LAS ENTIDADES SIN ÁNIMO DE LUCRO - ESAL.</v>
          </cell>
          <cell r="F28" t="str">
            <v xml:space="preserve">DIRECCIÓN DISTRITAL DE INSPECCIÓN, VIGILANCIA Y CONTROL </v>
          </cell>
          <cell r="G28" t="str">
            <v>MEDIR LA CANTIDAD DE CIUDADANOS ORIENTADOS EN ASPECTOS JURÍDICOS, FINANCIEROS Y DE INSPECCIÓN VIGILANCIA Y CONTROL DE LAS ENTIDADES SIN ÁNIMO DE LUCRO - ESAL</v>
          </cell>
          <cell r="H28" t="str">
            <v>POSICIONAMIENTO COMO ENTE RECTOR</v>
          </cell>
          <cell r="I28" t="str">
            <v>INSPECCIÓN VIGILANCIA Y CONTROL ESAL</v>
          </cell>
          <cell r="J28" t="str">
            <v>ACTIVO</v>
          </cell>
          <cell r="K28" t="str">
            <v>PLAN DE DESARROLLO</v>
          </cell>
          <cell r="L28" t="str">
            <v>PROYECTO DE INVERSIÓN</v>
          </cell>
          <cell r="M28" t="str">
            <v>PRODUCTO</v>
          </cell>
          <cell r="N28"/>
          <cell r="O28" t="str">
            <v>Sumatoria del número de ciudadanos orientados en aspectos jurídicos, financieros y de Inspección, Vigilancia y control.</v>
          </cell>
          <cell r="P28" t="str">
            <v>Ciudadanos</v>
          </cell>
          <cell r="Q28" t="str">
            <v>Número de ciudadanos que participan en las jornadas de orientación</v>
          </cell>
          <cell r="R28" t="str">
            <v>N.A.</v>
          </cell>
          <cell r="S28" t="str">
            <v>Número de ciudadanos que participan de las jornadas de orientación.</v>
          </cell>
          <cell r="T28" t="str">
            <v>N.A.</v>
          </cell>
          <cell r="U28" t="str">
            <v>Registros de asistencia de los participantes de la reunión</v>
          </cell>
          <cell r="V28" t="str">
            <v>N.A.</v>
          </cell>
          <cell r="W28">
            <v>1002</v>
          </cell>
          <cell r="X28" t="str">
            <v>SEGPLAN 2020
Informe de la Dirección de IVC</v>
          </cell>
          <cell r="Y28" t="str">
            <v>SUMA</v>
          </cell>
          <cell r="Z28" t="str">
            <v>MENSUAL</v>
          </cell>
          <cell r="AA28" t="str">
            <v>EFICACIA</v>
          </cell>
          <cell r="AB28" t="str">
            <v>TÉCNICO OPERATIVO</v>
          </cell>
          <cell r="AC28" t="str">
            <v>Profesional o contratista designado</v>
          </cell>
          <cell r="AD28" t="str">
            <v>DIRECTOR(A)</v>
          </cell>
          <cell r="AE28">
            <v>0</v>
          </cell>
          <cell r="AF28">
            <v>1000</v>
          </cell>
          <cell r="AG28">
            <v>1000</v>
          </cell>
          <cell r="AH28">
            <v>1000</v>
          </cell>
          <cell r="AI28">
            <v>1000</v>
          </cell>
          <cell r="AJ28" t="str">
            <v>ND</v>
          </cell>
          <cell r="AK28">
            <v>1002</v>
          </cell>
          <cell r="AL28">
            <v>0</v>
          </cell>
          <cell r="AM28"/>
          <cell r="AN28"/>
          <cell r="AO28">
            <v>0</v>
          </cell>
          <cell r="AP28">
            <v>0</v>
          </cell>
          <cell r="AQ28">
            <v>0</v>
          </cell>
          <cell r="AR28">
            <v>0</v>
          </cell>
          <cell r="AS28">
            <v>0</v>
          </cell>
          <cell r="AT28">
            <v>150</v>
          </cell>
          <cell r="AU28">
            <v>200</v>
          </cell>
          <cell r="AV28">
            <v>150</v>
          </cell>
          <cell r="AW28">
            <v>200</v>
          </cell>
          <cell r="AX28">
            <v>150</v>
          </cell>
          <cell r="AY28">
            <v>150</v>
          </cell>
          <cell r="AZ28">
            <v>0</v>
          </cell>
          <cell r="BA28">
            <v>0</v>
          </cell>
          <cell r="BB28">
            <v>0</v>
          </cell>
          <cell r="BC28"/>
          <cell r="BD28"/>
          <cell r="BE28"/>
          <cell r="BF28"/>
          <cell r="BG28"/>
          <cell r="BH28"/>
          <cell r="BI28"/>
          <cell r="BJ28"/>
          <cell r="BK28"/>
          <cell r="BL28"/>
          <cell r="BM28" t="str">
            <v>No se tiene programado avance para el mes de enero</v>
          </cell>
          <cell r="BN28" t="str">
            <v>No se tiene programado avance para el mes de febrero</v>
          </cell>
          <cell r="BO28"/>
          <cell r="BP28"/>
          <cell r="BQ28"/>
          <cell r="BR28"/>
          <cell r="BS28"/>
          <cell r="BT28"/>
          <cell r="BU28"/>
          <cell r="BV28"/>
          <cell r="BW28"/>
          <cell r="BX28"/>
        </row>
        <row r="29">
          <cell r="E29" t="str">
            <v>Promedio de duración de las actuaciones administrativas contra las ESAL</v>
          </cell>
          <cell r="F29" t="str">
            <v xml:space="preserve">DIRECCIÓN DISTRITAL DE INSPECCIÓN, VIGILANCIA Y CONTROL </v>
          </cell>
          <cell r="G29" t="str">
            <v>ESTABLECER UN TIEMPO PROMEDIO PARA LOS PROCESOS ADMINISTRATIVOS SANCIONATORIOS QUE SE ADELANTAN EN LA DIRECCIÓN DISTRITAL DE INSPECCIÓN, VIGILANCIA Y CONTROL (EL INDICADOR SE REGISTRA A PARTIR DEL 1 DE JULIO DE 2021).</v>
          </cell>
          <cell r="H29" t="str">
            <v>OPTIMIZACIÓN DE PROCESOS</v>
          </cell>
          <cell r="I29" t="str">
            <v>INSPECCIÓN VIGILANCIA Y CONTROL ESAL</v>
          </cell>
          <cell r="J29" t="str">
            <v>ACTIVO</v>
          </cell>
          <cell r="K29" t="str">
            <v>PLAN DE GESTIÓN</v>
          </cell>
          <cell r="L29"/>
          <cell r="M29"/>
          <cell r="N29"/>
          <cell r="O29" t="str">
            <v>(Sumatoria de los tiempos de duración de las actuaciones administrativas contra las ESAL, en el período) / (Total de actuaciones administrativas con decisión definitiva, realizadas en el período) *100</v>
          </cell>
          <cell r="P29" t="str">
            <v>Meses</v>
          </cell>
          <cell r="Q29" t="str">
            <v>Sumatoria de los tiempos de duración de las actuaciones administrativas contra las ESAL en el período</v>
          </cell>
          <cell r="R29" t="str">
            <v>Total de actuaciones administrativas finalizadas en el período</v>
          </cell>
          <cell r="S29" t="str">
            <v>Suma de los tiempos de los tiempos de duración  en meses, de todas las decisiones administrativas proferidas durante el período. Las fechas de inicio de las actuaciones administrativas contra las ESAL se toman con fecha de expedición del acto administrativo con el cual se inicia dicha actuación  (auto de averiguación preliminar  o formulación de cargos), y la fecha final es la del acto administrativo, por el cual se profiere la decisión definitiva de la actuación administrativa (Auto o resolución)</v>
          </cell>
          <cell r="T29" t="str">
            <v>Número de actuaciones administrativas con decisión definitiva, realizadas en el período.</v>
          </cell>
          <cell r="U29" t="str">
            <v>Base de datos de las actuaciones administrativas iniciadas a partir del 1 de enero de 2020</v>
          </cell>
          <cell r="V29" t="str">
            <v>Base de datos de las actuaciones administrativas iniciadas a partir del 1 de enero de 2020</v>
          </cell>
          <cell r="W29" t="str">
            <v>N/A</v>
          </cell>
          <cell r="X29" t="str">
            <v>No hay un dato reportado oficialmente, pero se estima que actualmente el promedio de terminación de los procesos es de 24 meses.</v>
          </cell>
          <cell r="Y29" t="str">
            <v>CONSTANTE</v>
          </cell>
          <cell r="Z29" t="str">
            <v>TRIMESTRAL</v>
          </cell>
          <cell r="AA29" t="str">
            <v>EFICACIA</v>
          </cell>
          <cell r="AB29" t="str">
            <v>PROFESIONAL ESPECIALIZADO Y/O UNIVERSITARIO</v>
          </cell>
          <cell r="AC29" t="str">
            <v>Profesional o contratista designado</v>
          </cell>
          <cell r="AD29" t="str">
            <v>DIRECTOR (A)</v>
          </cell>
          <cell r="AE29"/>
          <cell r="AF29">
            <v>18</v>
          </cell>
          <cell r="AG29">
            <v>18</v>
          </cell>
          <cell r="AH29"/>
          <cell r="AI29"/>
          <cell r="AJ29"/>
          <cell r="AK29">
            <v>8</v>
          </cell>
          <cell r="AL29" t="e">
            <v>#DIV/0!</v>
          </cell>
          <cell r="AM29"/>
          <cell r="AN29"/>
          <cell r="AO29">
            <v>0</v>
          </cell>
          <cell r="AP29">
            <v>0</v>
          </cell>
          <cell r="AQ29">
            <v>18</v>
          </cell>
          <cell r="AR29">
            <v>0</v>
          </cell>
          <cell r="AS29">
            <v>0</v>
          </cell>
          <cell r="AT29">
            <v>18</v>
          </cell>
          <cell r="AU29">
            <v>0</v>
          </cell>
          <cell r="AV29">
            <v>0</v>
          </cell>
          <cell r="AW29">
            <v>18</v>
          </cell>
          <cell r="AX29">
            <v>0</v>
          </cell>
          <cell r="AY29">
            <v>0</v>
          </cell>
          <cell r="AZ29">
            <v>18</v>
          </cell>
          <cell r="BA29"/>
          <cell r="BB29"/>
          <cell r="BC29"/>
          <cell r="BD29"/>
          <cell r="BE29"/>
          <cell r="BF29"/>
          <cell r="BG29"/>
          <cell r="BH29"/>
          <cell r="BI29"/>
          <cell r="BJ29"/>
          <cell r="BK29"/>
          <cell r="BL29"/>
          <cell r="BM29"/>
          <cell r="BN29"/>
          <cell r="BO29"/>
          <cell r="BP29"/>
          <cell r="BQ29"/>
          <cell r="BR29"/>
          <cell r="BS29"/>
          <cell r="BT29"/>
          <cell r="BU29"/>
          <cell r="BV29"/>
          <cell r="BW29"/>
          <cell r="BX29"/>
        </row>
        <row r="30">
          <cell r="E30" t="str">
            <v>Tiempo promedio de expedición de los certificados de IVC competencia de la Secretaría Juridica Distrital.</v>
          </cell>
          <cell r="F30" t="str">
            <v xml:space="preserve">DIRECCIÓN DISTRITAL DE INSPECCIÓN, VIGILANCIA Y CONTROL </v>
          </cell>
          <cell r="G30" t="str">
            <v>EXPEDIR EN UN TIEMPO PROMEDIO DE 10 DÍAS HÁBILES LAS SOLICITUDES DE LAS CERTIFICACIONES DE INSPECCIÓN, VIGILANCIA Y CONTROL.</v>
          </cell>
          <cell r="H30" t="str">
            <v>OPTIMIZACIÓN DE PROCESOS</v>
          </cell>
          <cell r="I30" t="str">
            <v>INSPECCIÓN VIGILANCIA Y CONTROL ESAL</v>
          </cell>
          <cell r="J30" t="str">
            <v>ACTIVO</v>
          </cell>
          <cell r="K30" t="str">
            <v>PLAN DE GESTIÓN</v>
          </cell>
          <cell r="L30"/>
          <cell r="M30"/>
          <cell r="N30"/>
          <cell r="O30" t="str">
            <v>(Sumatoria del tiempo de respuesta de las solicitudes de certificación de inspección, vigilancia y control e el período) / (Total de certificados de inspección, vigilancia y control de la Dirección de Inspección Vigilancia y Control expedidos durante el período)</v>
          </cell>
          <cell r="P30" t="str">
            <v xml:space="preserve"> Tiempos de expedición de los certificados de IVC</v>
          </cell>
          <cell r="Q30" t="str">
            <v>Sumatoria del tiempo de respuesta de las solicitudes de certificación de inspección, vigilancia y control en el período</v>
          </cell>
          <cell r="R30" t="str">
            <v>Total de certificados de inspección, vigilancia a y control, competencia de la Dirección Distrital de Inspección, Vigilancia y Control expedidos durante el período</v>
          </cell>
          <cell r="S30" t="str">
            <v>Se toma como fecha inicial el radicado de la solicitud del ciudadano de los certificados de inspección, vigilancia y control que son competencia de la Dirección de IVC y la fecha de expedición del certificado de inspección, vigilancia y control de las ESAL y se suman los tiempos transcurridos en cada uno de los certificados expedidos durante el período</v>
          </cell>
          <cell r="T30" t="str">
            <v>Corresponde al total de certificados que se expiden en el período</v>
          </cell>
          <cell r="U30" t="str">
            <v>Base de datos de certificados de inspección, vigilancia y control</v>
          </cell>
          <cell r="V30" t="str">
            <v>Base de datos de certificados de inspección, vigilancia y control</v>
          </cell>
          <cell r="W30" t="str">
            <v>N/A</v>
          </cell>
          <cell r="X30" t="str">
            <v>N/A</v>
          </cell>
          <cell r="Y30" t="str">
            <v>CONSTANTE</v>
          </cell>
          <cell r="Z30" t="str">
            <v>TRIMESTRAL</v>
          </cell>
          <cell r="AA30" t="str">
            <v>EFECTIVIDAD</v>
          </cell>
          <cell r="AB30" t="str">
            <v>TÉCNICO OPERATIVO</v>
          </cell>
          <cell r="AC30" t="str">
            <v>Profesional o contratista designado</v>
          </cell>
          <cell r="AD30" t="str">
            <v>DIRECTOR(A)</v>
          </cell>
          <cell r="AE30"/>
          <cell r="AF30">
            <v>10</v>
          </cell>
          <cell r="AG30">
            <v>10</v>
          </cell>
          <cell r="AH30">
            <v>10</v>
          </cell>
          <cell r="AI30">
            <v>10</v>
          </cell>
          <cell r="AJ30"/>
          <cell r="AK30">
            <v>8.5</v>
          </cell>
          <cell r="AL30" t="str">
            <v>ND</v>
          </cell>
          <cell r="AM30"/>
          <cell r="AN30"/>
          <cell r="AO30">
            <v>0</v>
          </cell>
          <cell r="AP30">
            <v>0</v>
          </cell>
          <cell r="AQ30">
            <v>10</v>
          </cell>
          <cell r="AR30">
            <v>0</v>
          </cell>
          <cell r="AS30">
            <v>0</v>
          </cell>
          <cell r="AT30">
            <v>10</v>
          </cell>
          <cell r="AU30">
            <v>0</v>
          </cell>
          <cell r="AV30">
            <v>0</v>
          </cell>
          <cell r="AW30">
            <v>10</v>
          </cell>
          <cell r="AX30">
            <v>0</v>
          </cell>
          <cell r="AY30">
            <v>0</v>
          </cell>
          <cell r="AZ30">
            <v>10</v>
          </cell>
          <cell r="BA30"/>
          <cell r="BB30"/>
          <cell r="BC30"/>
          <cell r="BD30"/>
          <cell r="BE30"/>
          <cell r="BF30"/>
          <cell r="BG30"/>
          <cell r="BH30"/>
          <cell r="BI30"/>
          <cell r="BJ30"/>
          <cell r="BK30"/>
          <cell r="BL30"/>
          <cell r="BM30"/>
          <cell r="BN30"/>
          <cell r="BO30"/>
          <cell r="BP30"/>
          <cell r="BQ30"/>
          <cell r="BR30"/>
          <cell r="BS30"/>
          <cell r="BT30"/>
          <cell r="BU30"/>
          <cell r="BV30"/>
          <cell r="BW30"/>
          <cell r="BX30"/>
        </row>
        <row r="31">
          <cell r="E31" t="str">
            <v xml:space="preserve">Porcentaje de actos administrativos que resuelven recursos de reposición presentados en contra de las decisiones proferidas por la Dirección Distrital de Inspección, vigilancia y control de las ESAL, en un tiempo promedio de 3 meses. </v>
          </cell>
          <cell r="F31" t="str">
            <v xml:space="preserve">DIRECCIÓN DISTRITAL DE INSPECCIÓN, VIGILANCIA Y CONTROL </v>
          </cell>
          <cell r="G31" t="str">
            <v>ADELANTAR LAS GESTIONES ADMINISTRATIVAS Y JURÍDICAS PARA DAR RESPUESTA A LOS RECURSOS DE REPOSICIÓN PRESENTADOS EN UN TIEMPO PROMEDIO DE 3 MESES.</v>
          </cell>
          <cell r="H31" t="str">
            <v>OPTIMIZACIÓN DE PROCESOS</v>
          </cell>
          <cell r="I31" t="str">
            <v>INSPECCIÓN VIGILANCIA Y CONTROL ESAL</v>
          </cell>
          <cell r="J31" t="str">
            <v>ACTIVO</v>
          </cell>
          <cell r="K31" t="str">
            <v>PLAN DE GESTIÓN</v>
          </cell>
          <cell r="L31"/>
          <cell r="M31"/>
          <cell r="N31"/>
          <cell r="O31" t="str">
            <v>(Total de resoluciones proferidas que resuelven los recursos de reposición interpuestos en contra de las decisiones administrativas de la Dirección Distrital de IVC en un tiempo máximo de tres meses, durante el período/ Total de resoluciones proferidas que resuelven los recursos de reposición interpuestos en contra de las decisiones administrativas de las Dirección de IVC en el período)*100</v>
          </cell>
          <cell r="P31" t="str">
            <v>% de resoluciones emitidas en tiempo máximo de 3 meses</v>
          </cell>
          <cell r="Q31" t="str">
            <v>Total de resoluciones proferidas que resuelven los recursos de reposición interpuestos en contra de la decisiones administrativas de la Dirección Distrital de IVC, en un tiempo máximo detrás meses, durante el período</v>
          </cell>
          <cell r="R31" t="str">
            <v>Total de resoluciones proferidas que resuelven los recursos de reposición interpuestos en contra de las decisiones administrativas de la Dirección de IVC, en el período</v>
          </cell>
          <cell r="S31" t="str">
            <v>Corresponde al total de resoluciones que resuelven los recursos de reposición, proferidas en un tiempo máximo de tres (3) meses</v>
          </cell>
          <cell r="T31" t="str">
            <v>Corresponde al total de resoluciones que resuelven los recursos de reposición, proferidas</v>
          </cell>
          <cell r="U31" t="str">
            <v>Base de datos de actuaciones administrativas contra las ESAL</v>
          </cell>
          <cell r="V31" t="str">
            <v>Base de datos de actuaciones administrativas contra las ESAL</v>
          </cell>
          <cell r="W31" t="str">
            <v>N/A</v>
          </cell>
          <cell r="X31" t="str">
            <v>N/A</v>
          </cell>
          <cell r="Y31" t="str">
            <v>CONSTANTE</v>
          </cell>
          <cell r="Z31" t="str">
            <v>TRIMESTRAL</v>
          </cell>
          <cell r="AA31" t="str">
            <v>EFICIENCIA</v>
          </cell>
          <cell r="AB31" t="str">
            <v>TÉCNICO OPERATIVO</v>
          </cell>
          <cell r="AC31" t="str">
            <v>Profesional o contratista designado</v>
          </cell>
          <cell r="AD31" t="str">
            <v>DIRECTOR(A)</v>
          </cell>
          <cell r="AE31"/>
          <cell r="AF31">
            <v>100</v>
          </cell>
          <cell r="AG31">
            <v>100</v>
          </cell>
          <cell r="AH31">
            <v>100</v>
          </cell>
          <cell r="AI31">
            <v>100</v>
          </cell>
          <cell r="AJ31"/>
          <cell r="AK31">
            <v>100</v>
          </cell>
          <cell r="AL31" t="str">
            <v>ND</v>
          </cell>
          <cell r="AM31"/>
          <cell r="AN31"/>
          <cell r="AO31">
            <v>0</v>
          </cell>
          <cell r="AP31">
            <v>0</v>
          </cell>
          <cell r="AQ31">
            <v>100</v>
          </cell>
          <cell r="AR31">
            <v>0</v>
          </cell>
          <cell r="AS31">
            <v>0</v>
          </cell>
          <cell r="AT31">
            <v>100</v>
          </cell>
          <cell r="AU31">
            <v>0</v>
          </cell>
          <cell r="AV31">
            <v>0</v>
          </cell>
          <cell r="AW31">
            <v>100</v>
          </cell>
          <cell r="AX31">
            <v>0</v>
          </cell>
          <cell r="AY31">
            <v>0</v>
          </cell>
          <cell r="AZ31">
            <v>100</v>
          </cell>
          <cell r="BA31"/>
          <cell r="BB31"/>
          <cell r="BC31"/>
          <cell r="BD31"/>
          <cell r="BE31"/>
          <cell r="BF31"/>
          <cell r="BG31"/>
          <cell r="BH31"/>
          <cell r="BI31"/>
          <cell r="BJ31"/>
          <cell r="BK31"/>
          <cell r="BL31"/>
          <cell r="BM31"/>
          <cell r="BN31"/>
          <cell r="BO31"/>
          <cell r="BP31"/>
          <cell r="BQ31"/>
          <cell r="BR31"/>
          <cell r="BS31"/>
          <cell r="BT31"/>
          <cell r="BU31"/>
          <cell r="BV31"/>
          <cell r="BW31"/>
          <cell r="BX31"/>
        </row>
        <row r="32">
          <cell r="E32" t="str">
            <v>549 - PORCENTAJE DE AVANCE DE LA CREACIÓN  DEL PLAN DE RECONOCIMIENTOS DE APORTES A LA GESTIÓN JURÍDICA DISTRITAL Y A LA LUCHA ANTICORRUPCIÓN</v>
          </cell>
          <cell r="F32" t="str">
            <v>DIRECCIÓN DISTRITAL DE POLÍTICA JURÍDICA</v>
          </cell>
          <cell r="G32" t="str">
            <v>MEDIR EL AVANCE DE LA CREACIÓN DEL PLAN DE RECONOCIMIENTOS</v>
          </cell>
          <cell r="H32" t="str">
            <v>POSICIONAMIENTO COMO ENTE RECTOR</v>
          </cell>
          <cell r="I32" t="str">
            <v>GESTIÓN JURÍDICA DISTRITAL</v>
          </cell>
          <cell r="J32" t="str">
            <v>ACTIVO</v>
          </cell>
          <cell r="K32" t="str">
            <v>PLAN DE DESARROLLO</v>
          </cell>
          <cell r="L32" t="str">
            <v>PROYECTO DE INVERSIÓN</v>
          </cell>
          <cell r="M32" t="str">
            <v>PRODUCTO</v>
          </cell>
          <cell r="N32"/>
          <cell r="O32" t="str">
            <v>(Sumatoria de las actividades cumplidas en el período /Actividades programadas para la vigencia)*100</v>
          </cell>
          <cell r="P32" t="str">
            <v>Actividades</v>
          </cell>
          <cell r="Q32" t="str">
            <v>Sumatoria de las actividades cumplidas en el período</v>
          </cell>
          <cell r="R32" t="str">
            <v>Actividades programadas para la vigencia</v>
          </cell>
          <cell r="S32" t="str">
            <v>Corresponde a las actividades cumplidas de acuerdo con el plan de acción del plan de reconocimientos</v>
          </cell>
          <cell r="T32" t="str">
            <v>Corresponde a las actividades programadas para la vigencia en el plan de acción del plan de reconocimientos</v>
          </cell>
          <cell r="U32" t="str">
            <v>Informe de supervisión del contrato e informes mensuales y trimestrales presentados a la Oficina Asesora de Planeación</v>
          </cell>
          <cell r="V32" t="str">
            <v>Plan Operativo Anual de la Dirección</v>
          </cell>
          <cell r="W32">
            <v>25</v>
          </cell>
          <cell r="X32" t="str">
            <v>ND</v>
          </cell>
          <cell r="Y32" t="str">
            <v>SUMA</v>
          </cell>
          <cell r="Z32" t="str">
            <v>MENSUAL</v>
          </cell>
          <cell r="AA32" t="str">
            <v>EFICACIA</v>
          </cell>
          <cell r="AB32" t="str">
            <v>Servidores y colaboradores de la dependencia</v>
          </cell>
          <cell r="AC32" t="str">
            <v>Equipo de Gestión de calidad</v>
          </cell>
          <cell r="AD32" t="str">
            <v xml:space="preserve">DIRECTOR(A) DISTIRTAL DE POLÍTICA JURÍDICA </v>
          </cell>
          <cell r="AE32" t="str">
            <v>ND</v>
          </cell>
          <cell r="AF32">
            <v>25</v>
          </cell>
          <cell r="AG32">
            <v>25</v>
          </cell>
          <cell r="AH32">
            <v>25</v>
          </cell>
          <cell r="AI32">
            <v>25</v>
          </cell>
          <cell r="AJ32" t="str">
            <v>ND</v>
          </cell>
          <cell r="AK32">
            <v>25</v>
          </cell>
          <cell r="AL32">
            <v>0</v>
          </cell>
          <cell r="AM32"/>
          <cell r="AN32"/>
          <cell r="AO32">
            <v>0</v>
          </cell>
          <cell r="AP32">
            <v>0</v>
          </cell>
          <cell r="AQ32">
            <v>0</v>
          </cell>
          <cell r="AR32">
            <v>0</v>
          </cell>
          <cell r="AS32">
            <v>2.5000000000000001E-2</v>
          </cell>
          <cell r="AT32">
            <v>3.2500000000000001E-2</v>
          </cell>
          <cell r="AU32">
            <v>0.05</v>
          </cell>
          <cell r="AV32">
            <v>2.5000000000000001E-2</v>
          </cell>
          <cell r="AW32">
            <v>2.5000000000000001E-2</v>
          </cell>
          <cell r="AX32">
            <v>4.2500000000000003E-2</v>
          </cell>
          <cell r="AY32">
            <v>0.05</v>
          </cell>
          <cell r="AZ32">
            <v>0</v>
          </cell>
          <cell r="BA32">
            <v>0</v>
          </cell>
          <cell r="BB32">
            <v>0</v>
          </cell>
          <cell r="BC32">
            <v>0</v>
          </cell>
          <cell r="BD32">
            <v>0</v>
          </cell>
          <cell r="BE32">
            <v>0</v>
          </cell>
          <cell r="BF32"/>
          <cell r="BG32"/>
          <cell r="BH32"/>
          <cell r="BI32"/>
          <cell r="BJ32"/>
          <cell r="BK32"/>
          <cell r="BL32"/>
          <cell r="BM32" t="str">
            <v xml:space="preserve">La ejecuciòn iniciara en el mayo de la vigencia 2022. </v>
          </cell>
          <cell r="BN32" t="str">
            <v xml:space="preserve">La ejecuciòn iniciara en el mayo de la vigencia 2022. </v>
          </cell>
          <cell r="BO32"/>
          <cell r="BP32"/>
          <cell r="BQ32"/>
          <cell r="BR32"/>
          <cell r="BS32"/>
          <cell r="BT32"/>
          <cell r="BU32"/>
          <cell r="BV32"/>
          <cell r="BW32"/>
          <cell r="BX32"/>
        </row>
        <row r="33">
          <cell r="E33" t="str">
            <v>531 - PORCENTAJE DE AVANCE DE LA CREACIÓN DEL MODELO DE GESTIÓN JURÍDICA ANTICORRUPCIÓN</v>
          </cell>
          <cell r="F33" t="str">
            <v>DIRECCIÓN DISTRITAL DE POLÍTICA JURÍDICA</v>
          </cell>
          <cell r="G33" t="str">
            <v>CONTROLAR EL AVANCE DEL MODELO ANTICORRUPCIÓN EN ENTIDADES Y ORGANISMOS DISTRITALES.</v>
          </cell>
          <cell r="H33" t="str">
            <v>POSICIONAMIENTO COMO ENTE RECTOR</v>
          </cell>
          <cell r="I33" t="str">
            <v>GESTIÓN JURÍDICA DISTRITAL</v>
          </cell>
          <cell r="J33" t="str">
            <v>ACTIVO</v>
          </cell>
          <cell r="K33" t="str">
            <v>PLAN DE DESARROLLO</v>
          </cell>
          <cell r="L33" t="str">
            <v>PROYECTO DE INVERSIÓN</v>
          </cell>
          <cell r="M33" t="str">
            <v>PRODUCTO</v>
          </cell>
          <cell r="N33"/>
          <cell r="O33" t="str">
            <v>(Sumatoria de las actividades cumplidas en el período /Actividades programadas para la vigencia)*100</v>
          </cell>
          <cell r="P33" t="str">
            <v>Actividades</v>
          </cell>
          <cell r="Q33" t="str">
            <v>Sumatoria de las actividades cumplidas en el período</v>
          </cell>
          <cell r="R33" t="str">
            <v>Actividades programadas para la vigencia</v>
          </cell>
          <cell r="S33" t="str">
            <v>Corresponde a las actividades cumplidas de acuerdo con el plan de acción del módelo de gestión jurídica</v>
          </cell>
          <cell r="T33" t="str">
            <v>Corresponde a las actividades programadas para la vigencia en el plan de acción del modelo de gestión jurídica</v>
          </cell>
          <cell r="U33" t="str">
            <v>Informe de supervisión del contrato e informes mensuales y trimestrales presentados a la Oficina Asesora de Planeación</v>
          </cell>
          <cell r="V33" t="str">
            <v>Plan Operativo Anual de la Dirección</v>
          </cell>
          <cell r="W33">
            <v>25</v>
          </cell>
          <cell r="X33" t="str">
            <v>ND</v>
          </cell>
          <cell r="Y33" t="str">
            <v>SUMA</v>
          </cell>
          <cell r="Z33" t="str">
            <v>MENSUAL</v>
          </cell>
          <cell r="AA33" t="str">
            <v>EFICACIA</v>
          </cell>
          <cell r="AB33" t="str">
            <v>Servidores y colaboradores de la dependencia</v>
          </cell>
          <cell r="AC33" t="str">
            <v>Equipo de Gestión de calidad</v>
          </cell>
          <cell r="AD33" t="str">
            <v xml:space="preserve">DIRECTOR(A) DISTIRTAL DE POLÍTICA E INFORMÁTICA JURÍDICA </v>
          </cell>
          <cell r="AE33" t="str">
            <v>ND</v>
          </cell>
          <cell r="AF33">
            <v>25</v>
          </cell>
          <cell r="AG33">
            <v>25</v>
          </cell>
          <cell r="AH33">
            <v>25</v>
          </cell>
          <cell r="AI33">
            <v>25</v>
          </cell>
          <cell r="AJ33" t="str">
            <v>ND</v>
          </cell>
          <cell r="AK33">
            <v>25</v>
          </cell>
          <cell r="AL33">
            <v>2.75E-2</v>
          </cell>
          <cell r="AM33"/>
          <cell r="AN33"/>
          <cell r="AO33">
            <v>2.5000000000000001E-3</v>
          </cell>
          <cell r="AP33">
            <v>2.5000000000000001E-2</v>
          </cell>
          <cell r="AQ33">
            <v>2.5000000000000001E-2</v>
          </cell>
          <cell r="AR33">
            <v>3.7499999999999999E-2</v>
          </cell>
          <cell r="AS33">
            <v>2.5000000000000001E-2</v>
          </cell>
          <cell r="AT33">
            <v>5.2499999999999998E-2</v>
          </cell>
          <cell r="AU33">
            <v>0.05</v>
          </cell>
          <cell r="AV33">
            <v>3.2500000000000001E-2</v>
          </cell>
          <cell r="AW33">
            <v>0</v>
          </cell>
          <cell r="AX33">
            <v>0</v>
          </cell>
          <cell r="AY33">
            <v>0</v>
          </cell>
          <cell r="AZ33">
            <v>0</v>
          </cell>
          <cell r="BA33">
            <v>2.5000000000000001E-3</v>
          </cell>
          <cell r="BB33">
            <v>2.5000000000000001E-2</v>
          </cell>
          <cell r="BC33"/>
          <cell r="BD33"/>
          <cell r="BE33"/>
          <cell r="BF33"/>
          <cell r="BG33"/>
          <cell r="BH33"/>
          <cell r="BI33"/>
          <cell r="BJ33"/>
          <cell r="BK33"/>
          <cell r="BL33"/>
          <cell r="BM33" t="str">
            <v>Se llevó a cabo la suscripción de los contratos 047 y 048 de 2022 para la convalidación y consolidación del Modelo Anticorrupción para el Distrito Capital. En este sentido, se concertó cronograma de trabajo, donde se determinó la priorización de 18 entidades distritales para la designación de enlaces que diligencien la encuesta de percepción de corrupción y desarrollen mesas de trabajo con el equipo de la SJD, para tal efecto, se elaboró la Circular 004 de 2022.</v>
          </cell>
          <cell r="BN33" t="str">
            <v xml:space="preserve">Conforme a la designación de enlaces realizada por las entidades priorizadas, se han enviado los formularios de google forms para su diligenciamiento y la realización de mesas de trabajo con las siguientes entidades: SDMujer, SSCJ, FUGA, SDDE, DASC, IDPAC. Se remitieron observaciones presentadas por la DDPJ y la Subsecretaría Jurídica al documento producto de la ejecución de los contratos durante la vigencia 2021, lo que permitió adelantar reunión con las contratistas el día 23 de febrero, con el fin de contextualizar y asumir compromisos en torno a la manera como se reestructurará el documento. En igual sentido, se está trabajando en un documento consolidado por parte de la Dirección de Política en las observaciones y comentarios presentados por parte de las dependencias de la Secretaría Jurídica.
Se ha logrado recabar información importante que permite levantar un diagnóstico de la percepción de corrupción al interior de las entidades. Por otro lado, del análisis del documento realizado por las dependencias de la Secretaría Jurídica, se reestructurará el mismo por parte de las contratistas, con el fin de hacerlo compatible con las recientes disposiciones legales expedidas en la materia.
</v>
          </cell>
          <cell r="BO33"/>
          <cell r="BP33"/>
          <cell r="BQ33"/>
          <cell r="BR33"/>
          <cell r="BS33"/>
          <cell r="BT33"/>
          <cell r="BU33"/>
          <cell r="BV33"/>
          <cell r="BW33"/>
          <cell r="BX33"/>
        </row>
        <row r="34">
          <cell r="E34" t="str">
            <v>532 - PORCENTAJE DE AVANCE DE LA CREACIÓN DEL OBSERVATORIO DISTRITAL DE CONTRATACIÓN Y LUCHA ANTICORRUPCIÓN</v>
          </cell>
          <cell r="F34" t="str">
            <v>DIRECCIÓN DISTRITAL DE POLÍTICA JURÍDICA</v>
          </cell>
          <cell r="G34" t="str">
            <v>CONTROLAR EL AVANCE DE LA CREACIÓN DEL MODELO DE GESTIÓN JURÍDICA ANTICORRUPCIÓN</v>
          </cell>
          <cell r="H34" t="str">
            <v>POSICIONAMIENTO COMO ENTE RECTOR</v>
          </cell>
          <cell r="I34" t="str">
            <v>GESTIÓN JURÍDICA DISTRITAL</v>
          </cell>
          <cell r="J34" t="str">
            <v>ACTIVO</v>
          </cell>
          <cell r="K34" t="str">
            <v>PLAN DE DESARROLLO</v>
          </cell>
          <cell r="L34" t="str">
            <v>PROYECTO DE INVERSIÓN</v>
          </cell>
          <cell r="M34"/>
          <cell r="N34"/>
          <cell r="O34" t="str">
            <v>(Sumatoria de las actividades cumplidas en el período /Actividades programadas para la vigencia)*100</v>
          </cell>
          <cell r="P34" t="str">
            <v>Actividades</v>
          </cell>
          <cell r="Q34" t="str">
            <v>Sumatoria de las actividades cumplidas en el período</v>
          </cell>
          <cell r="R34" t="str">
            <v>Actividades programadas para la vigencia</v>
          </cell>
          <cell r="S34" t="str">
            <v>Corresponde a las actividades cumplidas de acuerdo con el plan de creación del observatorio Distrital de Contratación y Lucha Anticorrupción</v>
          </cell>
          <cell r="T34" t="str">
            <v>Corresponde a las actividades programadas para la vigencia en el plan de creación del observatorio Distrital de Contratación y Lucha Anticorrupción</v>
          </cell>
          <cell r="U34" t="str">
            <v>Informe de supervisión del contrato e informes mensuales y trimestrales presentados a la Oficina Asesora de Planeación</v>
          </cell>
          <cell r="V34" t="str">
            <v>Plan Operativo Anual de la Dirección</v>
          </cell>
          <cell r="W34">
            <v>20</v>
          </cell>
          <cell r="X34" t="str">
            <v>ND</v>
          </cell>
          <cell r="Y34" t="str">
            <v>SUMA</v>
          </cell>
          <cell r="Z34" t="str">
            <v>MENSUAL</v>
          </cell>
          <cell r="AA34" t="str">
            <v>EFICACIA</v>
          </cell>
          <cell r="AB34" t="str">
            <v>Servidores y colaboradores de la dependencia</v>
          </cell>
          <cell r="AC34" t="str">
            <v>Equipo de Gestión de calidad</v>
          </cell>
          <cell r="AD34" t="str">
            <v xml:space="preserve">DIRECTOR(A) DISTIRTAL DE POLÍTICA E INFORMÁTICA JURÍDICA </v>
          </cell>
          <cell r="AE34">
            <v>10</v>
          </cell>
          <cell r="AF34">
            <v>20</v>
          </cell>
          <cell r="AG34">
            <v>30</v>
          </cell>
          <cell r="AH34">
            <v>20</v>
          </cell>
          <cell r="AI34">
            <v>20</v>
          </cell>
          <cell r="AJ34">
            <v>10</v>
          </cell>
          <cell r="AK34">
            <v>20</v>
          </cell>
          <cell r="AL34">
            <v>1.7999999999999999E-2</v>
          </cell>
          <cell r="AM34"/>
          <cell r="AN34"/>
          <cell r="AO34">
            <v>3.0000000000000001E-3</v>
          </cell>
          <cell r="AP34">
            <v>1.4999999999999999E-2</v>
          </cell>
          <cell r="AQ34">
            <v>3.3000000000000002E-2</v>
          </cell>
          <cell r="AR34">
            <v>0.03</v>
          </cell>
          <cell r="AS34">
            <v>0.03</v>
          </cell>
          <cell r="AT34">
            <v>1.4999999999999999E-2</v>
          </cell>
          <cell r="AU34">
            <v>1.4999999999999999E-2</v>
          </cell>
          <cell r="AV34">
            <v>0.03</v>
          </cell>
          <cell r="AW34">
            <v>0.03</v>
          </cell>
          <cell r="AX34">
            <v>0.06</v>
          </cell>
          <cell r="AY34">
            <v>2.4E-2</v>
          </cell>
          <cell r="AZ34">
            <v>1.4999999999999999E-2</v>
          </cell>
          <cell r="BA34">
            <v>3.0000000000000001E-3</v>
          </cell>
          <cell r="BB34">
            <v>1.4999999999999999E-2</v>
          </cell>
          <cell r="BC34"/>
          <cell r="BD34"/>
          <cell r="BE34"/>
          <cell r="BF34"/>
          <cell r="BG34"/>
          <cell r="BH34"/>
          <cell r="BI34"/>
          <cell r="BJ34"/>
          <cell r="BK34"/>
          <cell r="BL34"/>
          <cell r="BM34" t="str">
            <v>Durante el mes de enero se realizaron cuatro mesas de trabajo donde se socializaron los documentos que fueron resultado del trabajo realizado en la vigencia anterior por parte del equipo del observatorio.</v>
          </cell>
          <cell r="BN34" t="str">
            <v xml:space="preserve">1.Propuesta de trabajo: Se realizó un proyecto preliminar en mesa de trabajo con el equipo ODCLA el 1 de febrero de 2022 y modificaciones del mismo el 8 de febrero de 2022.
2.Mesas de Trabajo: 
 El 1 y el 8 de febrero se realizaron mesas de trabajo seguimiento supervisión contratistas ODCLA y Plan de Trabajo.
- 9/02/2022: Se realizó mesa de trabajo con la Dirección Distrital de Asuntos Disciplinarios y con la Dirección Distrital Defensa Judicial.
-15/02/2022: Se realizó mesa de trabajo con la Dirección Distrital de Asuntos Disciplinarios para la Socialización general del plan piloto del año 2021 sobre la matriz de procesos disciplinarios en el Distrito.
Mesas de trabajo para seguimiento a contratos y consideraciones operativas para la puesta en marcha del ODCLA:
17/02/2022: Contrato No. 136 de 2022 
18/02/2022: Contrato No. 039-2022 
18/02/2022: Contrato No. 067 de 2022
 -22/02/2022: Se realizó mesa de trabajo con la Coordinación de la Red Observatorio de la Secretaría de Planeación con el propósito de presentar al equipo ODCLA y realizar precisiones y recomendaciones en la articulación y funcionamiento del observatorio.
Mesa de trabajo equipo ODCLA para la revisión y diagramación del documento publicables:
22/02/2022: sobre la situación contractual de los organismos y entidades del Distrito.
23/02/2022: Continuación mesa de trabajo sobre la situación contractual de los organismos y entidades del Distrito.
3. Publicación Micrositio: Se publicaron los documentos análisis de la situación contractual en el Distrito Capital y del caso fenomenológico asociado a corrupción el 28/02/2022 https://www.secretariajuridica.gov.co/observatorio-distrital
</v>
          </cell>
          <cell r="BO34"/>
          <cell r="BP34"/>
          <cell r="BQ34"/>
          <cell r="BR34"/>
          <cell r="BS34"/>
          <cell r="BT34"/>
          <cell r="BU34"/>
          <cell r="BV34"/>
          <cell r="BW34"/>
          <cell r="BX34"/>
        </row>
        <row r="35">
          <cell r="E35" t="str">
            <v>537 -NÚMERO DE INVESTIGACIONES JURÍDICAS EN TEMAS DE ALTO IMPACTO DESARROLLADAS.</v>
          </cell>
          <cell r="F35" t="str">
            <v>DIRECCIÓN DISTRITAL DE POLÍTICA JURÍDICA</v>
          </cell>
          <cell r="G35" t="str">
            <v>MEDIR EL NÚMERO DE INVESTIGACIONES EN TEMAS DE ALTO IMPACTO DESARROLLADAS</v>
          </cell>
          <cell r="H35" t="str">
            <v>POSICIONAMIENTO COMO ENTE RECTOR</v>
          </cell>
          <cell r="I35" t="str">
            <v>GESTIÓN JURÍDICA DISTRITAL</v>
          </cell>
          <cell r="J35" t="str">
            <v>ACTIVO</v>
          </cell>
          <cell r="K35" t="str">
            <v>PLAN DE DESARROLLO</v>
          </cell>
          <cell r="L35" t="str">
            <v>PROYECTO DE INVERSIÓN</v>
          </cell>
          <cell r="M35"/>
          <cell r="N35"/>
          <cell r="O35" t="str">
            <v>Sumatoria de investigaciones en temas de alto impacto desarrolladas</v>
          </cell>
          <cell r="P35" t="str">
            <v>Actividades</v>
          </cell>
          <cell r="Q35" t="str">
            <v>Sumatoria de investigaciones en temas de alto impacto desarrolladas</v>
          </cell>
          <cell r="R35" t="str">
            <v>N.A.</v>
          </cell>
          <cell r="S35" t="str">
            <v>Corresponde a la cantidad de investigaciones de alto impacto desarrolladas</v>
          </cell>
          <cell r="T35" t="str">
            <v>N.A.</v>
          </cell>
          <cell r="U35" t="str">
            <v>Informe de supervisión del contrato e informes mensuales y trimestrales presentados a la Oficina Asesora de Planeación</v>
          </cell>
          <cell r="V35" t="str">
            <v>N.A.</v>
          </cell>
          <cell r="W35">
            <v>2</v>
          </cell>
          <cell r="X35" t="str">
            <v>ND</v>
          </cell>
          <cell r="Y35" t="str">
            <v>SUMA</v>
          </cell>
          <cell r="Z35" t="str">
            <v>MENSUAL</v>
          </cell>
          <cell r="AA35" t="str">
            <v>EFICACIA</v>
          </cell>
          <cell r="AB35" t="str">
            <v>Servidores y colaboradores de la dependencia</v>
          </cell>
          <cell r="AC35" t="str">
            <v>Equipo de Gestión de calidad</v>
          </cell>
          <cell r="AD35" t="str">
            <v xml:space="preserve">DIRECTOR(A) DISTIRTAL DE POLÍTICA E INFORMÁTICA JURÍDICA </v>
          </cell>
          <cell r="AE35" t="str">
            <v>ND</v>
          </cell>
          <cell r="AF35">
            <v>2</v>
          </cell>
          <cell r="AG35">
            <v>2</v>
          </cell>
          <cell r="AH35">
            <v>2</v>
          </cell>
          <cell r="AI35">
            <v>2</v>
          </cell>
          <cell r="AJ35" t="str">
            <v>ND</v>
          </cell>
          <cell r="AK35">
            <v>2</v>
          </cell>
          <cell r="AL35">
            <v>0</v>
          </cell>
          <cell r="AM35"/>
          <cell r="AN35"/>
          <cell r="AO35">
            <v>0</v>
          </cell>
          <cell r="AP35">
            <v>0</v>
          </cell>
          <cell r="AQ35">
            <v>0</v>
          </cell>
          <cell r="AR35">
            <v>0</v>
          </cell>
          <cell r="AS35">
            <v>0</v>
          </cell>
          <cell r="AT35">
            <v>0</v>
          </cell>
          <cell r="AU35">
            <v>0</v>
          </cell>
          <cell r="AV35">
            <v>0</v>
          </cell>
          <cell r="AW35">
            <v>0</v>
          </cell>
          <cell r="AX35">
            <v>0</v>
          </cell>
          <cell r="AY35">
            <v>2</v>
          </cell>
          <cell r="AZ35">
            <v>0</v>
          </cell>
          <cell r="BA35">
            <v>0</v>
          </cell>
          <cell r="BB35">
            <v>0</v>
          </cell>
          <cell r="BC35">
            <v>0</v>
          </cell>
          <cell r="BD35">
            <v>0</v>
          </cell>
          <cell r="BE35">
            <v>0</v>
          </cell>
          <cell r="BF35"/>
          <cell r="BG35"/>
          <cell r="BH35"/>
          <cell r="BI35"/>
          <cell r="BJ35"/>
          <cell r="BK35"/>
          <cell r="BL35"/>
          <cell r="BM35" t="str">
            <v xml:space="preserve">La ejecuciòn iniciara en el segundo semestre de la vigencia 2022. </v>
          </cell>
          <cell r="BN35" t="str">
            <v xml:space="preserve">La ejecuciòn iniciara en el segundo semestre de la vigencia 2022. </v>
          </cell>
          <cell r="BO35"/>
          <cell r="BP35"/>
          <cell r="BQ35"/>
          <cell r="BR35"/>
          <cell r="BS35"/>
          <cell r="BT35"/>
          <cell r="BU35"/>
          <cell r="BV35"/>
          <cell r="BW35"/>
          <cell r="BX35"/>
        </row>
        <row r="36">
          <cell r="E36" t="str">
            <v>548- PORCENTAJE DE ACTIVIDADES DESARROLLADAS PARA EL DISEÑO DE LA POLÍTICA DE GOBERNANZA REGULATORIA</v>
          </cell>
          <cell r="F36" t="str">
            <v>DIRECCIÓN DISTRITAL DE POLÍTICA JURÍDICA</v>
          </cell>
          <cell r="G36" t="str">
            <v>MEDIR EL AVANCE DE LAS ACTIVIDADES DESARROLLADAS PARA EL DISEÑO DE LA POLÍTICA DE GOBERNANZA REGULATORIA</v>
          </cell>
          <cell r="H36" t="str">
            <v>POSICIONAMIENTO COMO ENTE RECTOR</v>
          </cell>
          <cell r="I36" t="str">
            <v>GESTIÓN JURÍDICA DISTRITAL</v>
          </cell>
          <cell r="J36" t="str">
            <v>ACTIVO</v>
          </cell>
          <cell r="K36" t="str">
            <v>PLAN DE DESARROLLO</v>
          </cell>
          <cell r="L36" t="str">
            <v>PROYECTO DE INVERSIÓN</v>
          </cell>
          <cell r="M36" t="str">
            <v>PRODUCTO</v>
          </cell>
          <cell r="N36" t="str">
            <v>ODS</v>
          </cell>
          <cell r="O36" t="str">
            <v>(Sumatoria de las actividades cumplidas en el período /Actividades programadas para la vigencia)*100</v>
          </cell>
          <cell r="P36" t="str">
            <v>Actividades</v>
          </cell>
          <cell r="Q36" t="str">
            <v>Sumatoria de las actividades cumplidas en el período</v>
          </cell>
          <cell r="R36" t="str">
            <v>Actividades programadas para la vigencia</v>
          </cell>
          <cell r="S36" t="str">
            <v>Corresponde a las actividades cumplidas de acuerdo con el plan de acción para el diseño de la Política de Gobernanza</v>
          </cell>
          <cell r="T36" t="str">
            <v>Corresponde a las actividades programadas para la vigencia en el plan de acción para el diseño de la Política de Gobernanza</v>
          </cell>
          <cell r="U36" t="str">
            <v>Informe de supervisión del contrato e informes mensuales y trimestrales presentados a la Oficina Asesora de Planeación</v>
          </cell>
          <cell r="V36" t="str">
            <v>Plan Operativo Anual de la Dirección</v>
          </cell>
          <cell r="W36">
            <v>15</v>
          </cell>
          <cell r="X36" t="str">
            <v>ND</v>
          </cell>
          <cell r="Y36" t="str">
            <v>SUMA</v>
          </cell>
          <cell r="Z36" t="str">
            <v>MENSUAL</v>
          </cell>
          <cell r="AA36" t="str">
            <v>EFICACIA</v>
          </cell>
          <cell r="AB36" t="str">
            <v>Servidores y colaboradores de la dependencia</v>
          </cell>
          <cell r="AC36" t="str">
            <v>Equipo de Gestión de calidad</v>
          </cell>
          <cell r="AD36" t="str">
            <v xml:space="preserve">DIRECTOR(A) DISTIRTAL DE POLÍTICA E INFORMÁTICA JURÍDICA </v>
          </cell>
          <cell r="AE36" t="str">
            <v>ND</v>
          </cell>
          <cell r="AF36">
            <v>15</v>
          </cell>
          <cell r="AG36">
            <v>25</v>
          </cell>
          <cell r="AH36">
            <v>25</v>
          </cell>
          <cell r="AI36">
            <v>35</v>
          </cell>
          <cell r="AJ36" t="str">
            <v>ND</v>
          </cell>
          <cell r="AK36">
            <v>15</v>
          </cell>
          <cell r="AL36">
            <v>3.7499999999999999E-2</v>
          </cell>
          <cell r="AM36"/>
          <cell r="AN36"/>
          <cell r="AO36">
            <v>7.4999999999999997E-3</v>
          </cell>
          <cell r="AP36">
            <v>0.03</v>
          </cell>
          <cell r="AQ36">
            <v>2.5000000000000001E-2</v>
          </cell>
          <cell r="AR36">
            <v>2.5000000000000001E-2</v>
          </cell>
          <cell r="AS36">
            <v>2.5000000000000001E-2</v>
          </cell>
          <cell r="AT36">
            <v>2.5000000000000001E-2</v>
          </cell>
          <cell r="AU36">
            <v>2.5000000000000001E-2</v>
          </cell>
          <cell r="AV36">
            <v>2.5000000000000001E-2</v>
          </cell>
          <cell r="AW36">
            <v>2.5000000000000001E-2</v>
          </cell>
          <cell r="AX36">
            <v>2.5000000000000001E-2</v>
          </cell>
          <cell r="AY36">
            <v>1.2500000000000001E-2</v>
          </cell>
          <cell r="AZ36">
            <v>0</v>
          </cell>
          <cell r="BA36">
            <v>7.4999999999999997E-3</v>
          </cell>
          <cell r="BB36">
            <v>0.03</v>
          </cell>
          <cell r="BC36"/>
          <cell r="BD36"/>
          <cell r="BE36"/>
          <cell r="BF36"/>
          <cell r="BG36"/>
          <cell r="BH36"/>
          <cell r="BI36"/>
          <cell r="BJ36"/>
          <cell r="BK36"/>
          <cell r="BL36"/>
          <cell r="BM36" t="str">
            <v>Mediante mesa de trabajo se impartieron los lineamientos de ejecución del contrato de prestación de servicios No 028 de 2022, como resultado de la misma se elaboró el plan de trabajo, metodología y cronograma.</v>
          </cell>
          <cell r="BN36" t="str">
            <v>Se emitió la circular 012 de 2022 requiriendo a todas las entidades distritales la agenda regulatoria, se desarrolló documento de informe de seguimiento del acuerdo 761 de 2020 y documento de seguimiento al plan de desarrollo distrital, se llevó a cabo mesa de trabajo con la oficina de comunicaciones con el fin de diseñar la estrategia de comunicaciones para la socialización del ciclo de gobernanza que hace parte de la política de gobernanza regulatoria, también se llevaron a cabo mesas de trabajo con la Dirección Nacional de Planeación con el fin de recibir retroalimentación del documentos preliminar de la política de gobernanza regulatoria y adopción de los instrumentos de la política de gobernanza elaborados por ellos, mesa de trabajo con la Secretaría General para coordinar la implementación de la política de gobernanza y la política de racionalización de trámites, mesa de trabajo con el comité institucional de gestión y desempeño en la cual se presentó el documento para la aprobación de la política de gobernanza regulatoria y mesa de trabajo con el Secretario Jurídico y Subsecretario en la cual se presentó la programación del desarrollo del Plan de Acción de la Política de Gobernanza Regulatoria</v>
          </cell>
          <cell r="BO36"/>
          <cell r="BP36"/>
          <cell r="BQ36"/>
          <cell r="BR36"/>
          <cell r="BS36"/>
          <cell r="BT36"/>
          <cell r="BU36"/>
          <cell r="BV36"/>
          <cell r="BW36"/>
          <cell r="BX36"/>
        </row>
        <row r="37">
          <cell r="E37" t="str">
            <v>Porcentaje de incorporación y DIVULGACIÓN de la información jurídica en los sistemas de información jurídica</v>
          </cell>
          <cell r="F37" t="str">
            <v>DIRECCIÓN DISTRITAL DE POLÍTICA JURÍDICA</v>
          </cell>
          <cell r="G37" t="str">
            <v>CONTROLAR EL CUMPLIMIENTO DE INCORPORACIÓN DE NORMATIVIDAD AL APLICATIVO REGIMEN LEGAL</v>
          </cell>
          <cell r="H37" t="str">
            <v xml:space="preserve">RESPALDO JURÍDICO QUE GENERA CONFIANZA. </v>
          </cell>
          <cell r="I37" t="str">
            <v>GESTIÓN JURÍDICA DISTRITAL</v>
          </cell>
          <cell r="J37" t="str">
            <v>ACTIVO</v>
          </cell>
          <cell r="K37" t="str">
            <v>PLAN DE GESTIÓN</v>
          </cell>
          <cell r="L37"/>
          <cell r="M37"/>
          <cell r="N37"/>
          <cell r="O37" t="str">
            <v>(Sumatoria de normas incorporadas a Régimen Legal/  Total de normas que se deben incorporar a Régimen Legal)*100</v>
          </cell>
          <cell r="P37" t="str">
            <v xml:space="preserve">% de normas </v>
          </cell>
          <cell r="Q37" t="str">
            <v>Sumatoria de normas incorporadas a Régimen Legal</v>
          </cell>
          <cell r="R37" t="str">
            <v>Total de normas que se deben incorporar a Régimen Legal</v>
          </cell>
          <cell r="S37" t="str">
            <v>Corresponde al total de normas que se incluyen en Régimen Legal, en el período</v>
          </cell>
          <cell r="T37" t="str">
            <v>Corresponde al total de normas que deben incluirse en Régimen Legal, en el período</v>
          </cell>
          <cell r="U37" t="str">
            <v>Régimen Legal</v>
          </cell>
          <cell r="V37" t="str">
            <v>Régimen Legal</v>
          </cell>
          <cell r="W37" t="str">
            <v>ND</v>
          </cell>
          <cell r="X37" t="str">
            <v>ND</v>
          </cell>
          <cell r="Y37" t="str">
            <v>CONSTANTE</v>
          </cell>
          <cell r="Z37" t="str">
            <v>TRIMESTRAL</v>
          </cell>
          <cell r="AA37" t="str">
            <v>EFICACIA</v>
          </cell>
          <cell r="AB37" t="str">
            <v xml:space="preserve">PROFESIONAL UNIVERSITARIO </v>
          </cell>
          <cell r="AC37" t="str">
            <v>PROFESIONAL UNIVERSITARIO</v>
          </cell>
          <cell r="AD37" t="str">
            <v xml:space="preserve">DIRECTOR(A) DISTIRTAL DE POLÍTICA E INFORMÁTICA JURÍDICA </v>
          </cell>
          <cell r="AE37">
            <v>0</v>
          </cell>
          <cell r="AF37">
            <v>100</v>
          </cell>
          <cell r="AG37">
            <v>100</v>
          </cell>
          <cell r="AH37">
            <v>100</v>
          </cell>
          <cell r="AI37">
            <v>100</v>
          </cell>
          <cell r="AJ37"/>
          <cell r="AK37">
            <v>100</v>
          </cell>
          <cell r="AL37" t="str">
            <v>ND</v>
          </cell>
          <cell r="AM37"/>
          <cell r="AN37"/>
          <cell r="AO37">
            <v>0</v>
          </cell>
          <cell r="AP37">
            <v>0</v>
          </cell>
          <cell r="AQ37">
            <v>100</v>
          </cell>
          <cell r="AR37">
            <v>0</v>
          </cell>
          <cell r="AS37">
            <v>0</v>
          </cell>
          <cell r="AT37">
            <v>100</v>
          </cell>
          <cell r="AU37">
            <v>0</v>
          </cell>
          <cell r="AV37">
            <v>0</v>
          </cell>
          <cell r="AW37">
            <v>100</v>
          </cell>
          <cell r="AX37">
            <v>0</v>
          </cell>
          <cell r="AY37">
            <v>0</v>
          </cell>
          <cell r="AZ37">
            <v>100</v>
          </cell>
          <cell r="BA37"/>
          <cell r="BB37"/>
          <cell r="BC37"/>
          <cell r="BD37"/>
          <cell r="BE37"/>
          <cell r="BF37"/>
          <cell r="BG37"/>
          <cell r="BH37"/>
          <cell r="BI37"/>
          <cell r="BJ37"/>
          <cell r="BK37"/>
          <cell r="BL37"/>
          <cell r="BM37"/>
          <cell r="BN37"/>
          <cell r="BO37"/>
          <cell r="BP37"/>
          <cell r="BQ37"/>
          <cell r="BR37"/>
          <cell r="BS37"/>
          <cell r="BT37"/>
          <cell r="BU37"/>
          <cell r="BV37"/>
          <cell r="BW37"/>
          <cell r="BX37"/>
        </row>
        <row r="38">
          <cell r="E38" t="str">
            <v>Número de disposiciones normativas actualizadas en Régimen Legal de Bogotá</v>
          </cell>
          <cell r="F38" t="str">
            <v>DIRECCIÓN DISTRITAL DE POLÍTICA JURÍDICA</v>
          </cell>
          <cell r="G38" t="str">
            <v>VERIFICAR EL NÚMERO DE DISPOSICIONES NORMATIVAS ACTUALIZADAS EN RÉGIMEN LEGAL DE BOGOTÁ</v>
          </cell>
          <cell r="H38" t="str">
            <v>POSICIONAMIENTO COMO ENTE RECTOR</v>
          </cell>
          <cell r="I38" t="str">
            <v>GESTIÓN JURÍDICA DISTRITAL</v>
          </cell>
          <cell r="J38" t="str">
            <v>ACTIVO</v>
          </cell>
          <cell r="K38" t="str">
            <v>PLAN DE GESTIÓN</v>
          </cell>
          <cell r="L38"/>
          <cell r="M38"/>
          <cell r="N38"/>
          <cell r="O38" t="str">
            <v>Sumatoria de las disposiciones normativas actualizadas en Régimen Legal de Bogotá en el período</v>
          </cell>
          <cell r="P38" t="str">
            <v>Disposiciones normativas</v>
          </cell>
          <cell r="Q38" t="str">
            <v>Sumatoria de las disposiciones normativas actualizadas en Régimen Legal de Bogotá</v>
          </cell>
          <cell r="R38" t="str">
            <v>N.A.</v>
          </cell>
          <cell r="S38" t="str">
            <v>Corresponde a la cantidad de disposiciones normativas actualizadas en Régimen Legal</v>
          </cell>
          <cell r="T38" t="str">
            <v>N.A.</v>
          </cell>
          <cell r="U38" t="str">
            <v>Informe mensual de Régimen Legal Bogotá</v>
          </cell>
          <cell r="V38" t="str">
            <v>N.A.</v>
          </cell>
          <cell r="W38" t="str">
            <v>ND</v>
          </cell>
          <cell r="X38" t="str">
            <v>ND</v>
          </cell>
          <cell r="Y38" t="str">
            <v>SUMA</v>
          </cell>
          <cell r="Z38" t="str">
            <v>TRIMESTRAL</v>
          </cell>
          <cell r="AA38" t="str">
            <v>EFICACIA</v>
          </cell>
          <cell r="AB38" t="str">
            <v xml:space="preserve">PROFESIONAL UNIVERSITARIO </v>
          </cell>
          <cell r="AC38" t="str">
            <v xml:space="preserve">PROFESIONAL UNIVERSITARIO </v>
          </cell>
          <cell r="AD38" t="str">
            <v xml:space="preserve">DIRECTOR(A) DISTIRTAL DE POLÍTICA E INFORMÁTICA JURÍDICA </v>
          </cell>
          <cell r="AE38"/>
          <cell r="AF38">
            <v>55</v>
          </cell>
          <cell r="AG38">
            <v>47</v>
          </cell>
          <cell r="AH38"/>
          <cell r="AI38"/>
          <cell r="AJ38">
            <v>0</v>
          </cell>
          <cell r="AK38">
            <v>57</v>
          </cell>
          <cell r="AL38">
            <v>0</v>
          </cell>
          <cell r="AM38"/>
          <cell r="AN38"/>
          <cell r="AO38">
            <v>0</v>
          </cell>
          <cell r="AP38">
            <v>0</v>
          </cell>
          <cell r="AQ38">
            <v>11</v>
          </cell>
          <cell r="AR38">
            <v>0</v>
          </cell>
          <cell r="AS38">
            <v>0</v>
          </cell>
          <cell r="AT38">
            <v>12</v>
          </cell>
          <cell r="AU38">
            <v>0</v>
          </cell>
          <cell r="AV38">
            <v>0</v>
          </cell>
          <cell r="AW38">
            <v>12</v>
          </cell>
          <cell r="AX38">
            <v>0</v>
          </cell>
          <cell r="AY38">
            <v>0</v>
          </cell>
          <cell r="AZ38">
            <v>12</v>
          </cell>
          <cell r="BA38"/>
          <cell r="BB38"/>
          <cell r="BC38"/>
          <cell r="BD38"/>
          <cell r="BE38"/>
          <cell r="BF38"/>
          <cell r="BG38"/>
          <cell r="BH38"/>
          <cell r="BI38"/>
          <cell r="BJ38"/>
          <cell r="BK38"/>
          <cell r="BL38"/>
          <cell r="BM38"/>
          <cell r="BN38"/>
          <cell r="BO38"/>
          <cell r="BP38"/>
          <cell r="BQ38"/>
          <cell r="BR38"/>
          <cell r="BS38"/>
          <cell r="BT38"/>
          <cell r="BU38"/>
          <cell r="BV38"/>
          <cell r="BW38"/>
          <cell r="BX38"/>
        </row>
        <row r="39">
          <cell r="E39" t="str">
            <v>Porcentaje de participación en actividades de políticas públicas e instancias de coordinación</v>
          </cell>
          <cell r="F39" t="str">
            <v>DIRECCIÓN DISTRITAL DE POLÍTICA JURÍDICA</v>
          </cell>
          <cell r="G39" t="str">
            <v xml:space="preserve">Lograr participar al 100% de las actividades relacionadas con las politicas publicas e instancias de coordinación a cargo de la Dirección Distrital de Politica Juridica mediante el control del registro de los formularios y las solicitudes realizadas a demanda, para dar cumplimiento a las funciones asignadas a la dependencia. </v>
          </cell>
          <cell r="H39" t="str">
            <v xml:space="preserve">RESPALDO JURÍDICO QUE GENERA CONFIANZA. </v>
          </cell>
          <cell r="I39" t="str">
            <v>GESTIÓN JURÍDICA DISTRITAL</v>
          </cell>
          <cell r="J39" t="str">
            <v>ACTIVO</v>
          </cell>
          <cell r="K39" t="str">
            <v>PLAN DE GESTIÓN</v>
          </cell>
          <cell r="L39"/>
          <cell r="M39"/>
          <cell r="N39"/>
          <cell r="O39" t="str">
            <v>(Número total de actividades ejecutadas relacionadas con las políticas politicas publicas e instancias de coordinación en el trimestre/Número total de actividades programadas y por demanda relacionadas con las políticas politicas publicas e instancias de coordinación en el trimestre)*100</v>
          </cell>
          <cell r="P39" t="str">
            <v xml:space="preserve">Actividades relacionadas con las políticas politicas publicas e instancias de coordinación </v>
          </cell>
          <cell r="Q39" t="str">
            <v>Sumatoria del número total de actividades ejecutadas relacionadas con las políticas publicas y las actividades ejecutadas relacionadas con instancias de coordinación en el trimestre</v>
          </cell>
          <cell r="R39" t="str">
            <v>Sumatoria del número total de actividades relacionadas con las políticas publicas programadas y por demanda y las actividades relacionadas con instancias de coordinación en el trimestre</v>
          </cell>
          <cell r="S39" t="str">
            <v xml:space="preserve">Corresponde al total de actividades ejecutadas relacionadas con las políticas publicas e instancias de coordinación </v>
          </cell>
          <cell r="T39" t="str">
            <v>Corresponde al total de actividades programadas y solicitadas por demanda que se encuentran relacionadas con las políticas publicas e instancias de coordinación</v>
          </cell>
          <cell r="U39" t="str">
            <v xml:space="preserve">Formularios de registro de las actividades solicitadas y programadas
Informe y seguimiento instancias de Coordinación 
Sistema de Información Documental </v>
          </cell>
          <cell r="V39" t="str">
            <v xml:space="preserve">Formularios de registro de las actividades solicitadas y programadas
Informe y seguimiento instancias de Coordinación 
Sistema de Información Documental </v>
          </cell>
          <cell r="W39" t="str">
            <v>ND</v>
          </cell>
          <cell r="X39" t="str">
            <v>ND</v>
          </cell>
          <cell r="Y39" t="str">
            <v>SUMA</v>
          </cell>
          <cell r="Z39" t="str">
            <v>TRIMESTRAL</v>
          </cell>
          <cell r="AA39" t="str">
            <v>EFICACIA</v>
          </cell>
          <cell r="AB39" t="str">
            <v xml:space="preserve">PROFESIONAL UNIVERSITARIO </v>
          </cell>
          <cell r="AC39" t="str">
            <v xml:space="preserve">PROFESIONAL UNIVERSITARIO </v>
          </cell>
          <cell r="AD39" t="str">
            <v xml:space="preserve">DIRECTOR(A) DISTIRTAL DE POLÍTICA E INFORMÁTICA JURÍDICA </v>
          </cell>
          <cell r="AE39"/>
          <cell r="AF39"/>
          <cell r="AG39">
            <v>100</v>
          </cell>
          <cell r="AH39"/>
          <cell r="AI39"/>
          <cell r="AJ39"/>
          <cell r="AK39" t="str">
            <v>No tenía dato</v>
          </cell>
          <cell r="AL39">
            <v>0</v>
          </cell>
          <cell r="AM39"/>
          <cell r="AN39"/>
          <cell r="AO39">
            <v>0</v>
          </cell>
          <cell r="AP39">
            <v>0</v>
          </cell>
          <cell r="AQ39">
            <v>100</v>
          </cell>
          <cell r="AR39">
            <v>0</v>
          </cell>
          <cell r="AS39">
            <v>0</v>
          </cell>
          <cell r="AT39">
            <v>100</v>
          </cell>
          <cell r="AU39">
            <v>0</v>
          </cell>
          <cell r="AV39">
            <v>0</v>
          </cell>
          <cell r="AW39">
            <v>100</v>
          </cell>
          <cell r="AX39">
            <v>0</v>
          </cell>
          <cell r="AY39">
            <v>0</v>
          </cell>
          <cell r="AZ39">
            <v>100</v>
          </cell>
          <cell r="BA39"/>
          <cell r="BB39"/>
          <cell r="BC39"/>
          <cell r="BD39"/>
          <cell r="BE39"/>
          <cell r="BF39"/>
          <cell r="BG39"/>
          <cell r="BH39"/>
          <cell r="BI39"/>
          <cell r="BJ39"/>
          <cell r="BK39"/>
          <cell r="BL39"/>
          <cell r="BM39"/>
          <cell r="BN39"/>
          <cell r="BO39"/>
          <cell r="BP39"/>
          <cell r="BQ39"/>
          <cell r="BR39"/>
          <cell r="BS39"/>
          <cell r="BT39"/>
          <cell r="BU39"/>
          <cell r="BV39"/>
          <cell r="BW39"/>
          <cell r="BX39"/>
        </row>
        <row r="40">
          <cell r="E40" t="str">
            <v>Número de lineamientos o directivas en materia de contratación y demás temas jurídicos</v>
          </cell>
          <cell r="F40" t="str">
            <v>DIRECCIÓN DISTRITAL DE POLÍTICA JURÍDICA</v>
          </cell>
          <cell r="G40" t="str">
            <v>VERIFICAR LA CANTIDAD DE LINEAMIENTOS  O DIRECTIVAS EN MATERIA DE CONTRATACIÓN Y DEMÁS TEMAS JURÍDICOS</v>
          </cell>
          <cell r="H40" t="str">
            <v>POSICIONAMIENTO COMO ENTE RECTOR</v>
          </cell>
          <cell r="I40" t="str">
            <v>GESTIÓN JURÍDICA DISTRITAL</v>
          </cell>
          <cell r="J40" t="str">
            <v>ACTIVO</v>
          </cell>
          <cell r="K40" t="str">
            <v>PLAN DE GESTIÓN</v>
          </cell>
          <cell r="L40"/>
          <cell r="M40"/>
          <cell r="N40"/>
          <cell r="O40" t="str">
            <v>Sumatoria de lineamientos o directivas en materia de contratación y demás temas jurídicos en el período</v>
          </cell>
          <cell r="P40" t="str">
            <v>Lineamientos</v>
          </cell>
          <cell r="Q40" t="str">
            <v>Sumatoria de lineamientos o directivas en materia de contratación y demás temas jurídicos en el período</v>
          </cell>
          <cell r="R40" t="str">
            <v>N.A.</v>
          </cell>
          <cell r="S40" t="str">
            <v>Corresponde a los lineamientos generados que sean de impacto para el Distrito Capital</v>
          </cell>
          <cell r="T40" t="str">
            <v>N.A.</v>
          </cell>
          <cell r="U40" t="str">
            <v>Sistema de Información Régimen Legal de Bogotá</v>
          </cell>
          <cell r="V40" t="str">
            <v>N.A.</v>
          </cell>
          <cell r="W40" t="str">
            <v>ND</v>
          </cell>
          <cell r="X40" t="str">
            <v>ND</v>
          </cell>
          <cell r="Y40" t="str">
            <v>SUMA</v>
          </cell>
          <cell r="Z40" t="str">
            <v>TRIMESTRAL</v>
          </cell>
          <cell r="AA40" t="str">
            <v>EFICACIA</v>
          </cell>
          <cell r="AB40" t="str">
            <v xml:space="preserve">PROFESIONAL UNIVERSITARIO </v>
          </cell>
          <cell r="AC40" t="str">
            <v xml:space="preserve">PROFESIONAL UNIVERSITARIO </v>
          </cell>
          <cell r="AD40" t="str">
            <v xml:space="preserve">DIRECTOR(A) DISTIRTAL DE POLÍTICA E INFORMÁTICA JURÍDICA </v>
          </cell>
          <cell r="AE40"/>
          <cell r="AF40">
            <v>7</v>
          </cell>
          <cell r="AG40">
            <v>7</v>
          </cell>
          <cell r="AH40"/>
          <cell r="AI40"/>
          <cell r="AJ40"/>
          <cell r="AK40">
            <v>7</v>
          </cell>
          <cell r="AL40">
            <v>0</v>
          </cell>
          <cell r="AM40"/>
          <cell r="AN40"/>
          <cell r="AO40">
            <v>0</v>
          </cell>
          <cell r="AP40">
            <v>0</v>
          </cell>
          <cell r="AQ40">
            <v>2</v>
          </cell>
          <cell r="AR40">
            <v>0</v>
          </cell>
          <cell r="AS40">
            <v>0</v>
          </cell>
          <cell r="AT40">
            <v>2</v>
          </cell>
          <cell r="AU40">
            <v>0</v>
          </cell>
          <cell r="AV40">
            <v>0</v>
          </cell>
          <cell r="AW40">
            <v>2</v>
          </cell>
          <cell r="AX40">
            <v>0</v>
          </cell>
          <cell r="AY40">
            <v>0</v>
          </cell>
          <cell r="AZ40">
            <v>1</v>
          </cell>
          <cell r="BA40"/>
          <cell r="BB40"/>
          <cell r="BC40"/>
          <cell r="BD40"/>
          <cell r="BE40"/>
          <cell r="BF40"/>
          <cell r="BG40"/>
          <cell r="BH40"/>
          <cell r="BI40"/>
          <cell r="BJ40"/>
          <cell r="BK40"/>
          <cell r="BL40"/>
          <cell r="BM40"/>
          <cell r="BN40"/>
          <cell r="BO40"/>
          <cell r="BP40"/>
          <cell r="BQ40"/>
          <cell r="BR40"/>
          <cell r="BS40"/>
          <cell r="BT40"/>
          <cell r="BU40"/>
          <cell r="BV40"/>
          <cell r="BW40"/>
          <cell r="BX40"/>
        </row>
        <row r="41">
          <cell r="E41" t="str">
            <v>NIVEL DE FORTALECIMIENTO DEL MIPG PARA LA SECRETARÍA JURÍDICA DISTRITAL</v>
          </cell>
          <cell r="F41" t="str">
            <v>OFICINA ASESORA DE PLANEACIÓN</v>
          </cell>
          <cell r="G41" t="str">
            <v>MEDIR EL NIVEL DE IMPLEMENTACIÓN Y MEJORA DEL MODELO INTEGRADO DE PLANEACIÓN Y GESTIÓN EN LA SJD</v>
          </cell>
          <cell r="H41" t="str">
            <v>OPTIMIZACIÓN DE PROCESOS</v>
          </cell>
          <cell r="I41" t="str">
            <v>PLANEACIÓN Y MEJORA CONTINUA</v>
          </cell>
          <cell r="J41" t="str">
            <v>ACTIVO</v>
          </cell>
          <cell r="K41" t="str">
            <v>PLAN DE DESARROLLO</v>
          </cell>
          <cell r="L41" t="str">
            <v>PROYECTO DE INVERSIÓN</v>
          </cell>
          <cell r="M41"/>
          <cell r="N41"/>
          <cell r="O41" t="str">
            <v>(Total de actividades ejecutadas en el período /  Total de actividades programadas en el período)*100</v>
          </cell>
          <cell r="P41" t="str">
            <v>Actividades</v>
          </cell>
          <cell r="Q41" t="str">
            <v>Total de actividades ejecutadas en el período</v>
          </cell>
          <cell r="R41" t="str">
            <v>Total de actividades programadas en el período</v>
          </cell>
          <cell r="S41" t="str">
            <v>Corresponde a las actividades ejecutadas en el período, de acuerdo con al plan de acción MIPG</v>
          </cell>
          <cell r="T41" t="str">
            <v>Corresponde a las actividades programadas en el período, de acuerdo con al plan de acción MIPG</v>
          </cell>
          <cell r="U41" t="str">
            <v>Informes de avance OAP
Seguimiento POA</v>
          </cell>
          <cell r="V41" t="str">
            <v>Planes de trabajo contratistas</v>
          </cell>
          <cell r="W41">
            <v>100</v>
          </cell>
          <cell r="X41" t="str">
            <v>DAFP 2020</v>
          </cell>
          <cell r="Y41" t="str">
            <v>CONSTANTE</v>
          </cell>
          <cell r="Z41" t="str">
            <v>MENSUAL</v>
          </cell>
          <cell r="AA41" t="str">
            <v>EFICACIA</v>
          </cell>
          <cell r="AB41" t="str">
            <v xml:space="preserve">JENNY ROCIO GOMEZ </v>
          </cell>
          <cell r="AC41" t="str">
            <v xml:space="preserve">LUIS ALEJANDRO ÁVILA </v>
          </cell>
          <cell r="AD41" t="str">
            <v>Jefe Oficina Asesora de Planeación</v>
          </cell>
          <cell r="AE41">
            <v>100</v>
          </cell>
          <cell r="AF41">
            <v>100</v>
          </cell>
          <cell r="AG41">
            <v>100</v>
          </cell>
          <cell r="AH41">
            <v>100</v>
          </cell>
          <cell r="AI41">
            <v>100</v>
          </cell>
          <cell r="AJ41">
            <v>100</v>
          </cell>
          <cell r="AK41">
            <v>100</v>
          </cell>
          <cell r="AL41">
            <v>100</v>
          </cell>
          <cell r="AM41"/>
          <cell r="AN41"/>
          <cell r="AO41">
            <v>100</v>
          </cell>
          <cell r="AP41">
            <v>100</v>
          </cell>
          <cell r="AQ41">
            <v>100</v>
          </cell>
          <cell r="AR41">
            <v>100</v>
          </cell>
          <cell r="AS41">
            <v>100</v>
          </cell>
          <cell r="AT41">
            <v>100</v>
          </cell>
          <cell r="AU41">
            <v>100</v>
          </cell>
          <cell r="AV41">
            <v>100</v>
          </cell>
          <cell r="AW41">
            <v>100</v>
          </cell>
          <cell r="AX41">
            <v>100</v>
          </cell>
          <cell r="AY41">
            <v>100</v>
          </cell>
          <cell r="AZ41">
            <v>100</v>
          </cell>
          <cell r="BA41">
            <v>100</v>
          </cell>
          <cell r="BB41">
            <v>100</v>
          </cell>
          <cell r="BC41"/>
          <cell r="BD41"/>
          <cell r="BE41"/>
          <cell r="BF41"/>
          <cell r="BG41"/>
          <cell r="BH41"/>
          <cell r="BI41"/>
          <cell r="BJ41"/>
          <cell r="BK41"/>
          <cell r="BL41"/>
          <cell r="BM41" t="str">
            <v xml:space="preserve">MIPG: Se realizaron los ajustes al Plan MIPG 202, en donde se incluye el componente del Plan Anticorrupción y Atención al Ciudadano - PAAC y se actualizan actividades de Gobierno Digital.
Proyectos de Inversión en SUIFP – SPI, Anteproyecto de Presupuesto y PMR: Se reportó la información del seguimiento del Plan de Acción del PDD- UNCSAB con corte a 31 de diciembre de 2021 en el sistema SEGPLAN, al igual que en la herramienta SUIFP - SPI. Además, se realizó el seguimiento y se remitió a Secretaría Distrital de Hacienda el informe de Productos, Metas y Resultados PMR con corte a 31 de diciembre de 2021. Así mismo, la Oficina Asesora de Planeación realizó acompañamiento para la actualización del documento de formulación del proyecto de inversión 7632 - fortalecimiento de la capacidad tecnológica de la secretaría jurídica distrital Bogotá y se dio respuesta a solicitud de información a la Contraloría de Bogotá D.C y a derechos de petición de concejales de Bogotá.
Gestión Ambiental: Durante el mes de enero de 2022 se realizó la elaboración y transmisión de dos informes de seguimiento al Plan de acción PAI 2021, así como el informe del aprovechamiento de residuos sólidos correspondiente al IV trimestre de 2022. Estos informes fueron remitidos a la Unidad Administrativa Especial de Servicios Públicos – UAESP durante el mes de enero de 2022.En cumplimiento de la Resolución 242 de 2014, durante el mes de enero de 2022 se elaboraron y transmitieron los siguientes cuatro (4) informes de gestión ambiental: a) seguimiento al plan de acción PIGA II semestre de 2021, b) informe de huella de carbono de la vigencia 2021, c) Informe de verificación II semestre de 2021, y d ) Informe de avance en la implementación de las compras verdes corte 31/12/2021. Estos informes fueron remitidos a la Secretaría Distrital de Ambiente a través de la herramienta STORM durante el mes de enero de 2021.
Gestión Documental: En el marco de la Gestión Documental en la Entidad, se proyecto cronograma de actividades relacionadas con la implementación del documento electrónico, que serán ejecutadas durante la vigencia 2022. Así mismo, se brindo asistencia técnica en temas relacionados con la organización técnica de los archivos a las dependencias: Dirección Distrital de Política Jurídica, Dirección Distrital de Inspección, Vigilancia y Control, Dirección de Gestión Corporativa, Dirección Distrital de Asuntos Disciplinarios y Dirección Distrital de Gestión Judicial. </v>
          </cell>
          <cell r="BN41" t="str">
            <v xml:space="preserve">MIPG: La Oficina Asesora de Planeación estructuró e implementó la estrategia de diligenciamiento FURAG 2021 a través de la construcción de la herramienta en Excel de FURAG con las respuestas brindadas en la vigencia 2020 y se adiciona el espacio para diligenciar las respuestas a las preguntas de la vigencia 2021 y evidencias. Así mismo, se crearon vídeos cortos con la explicación del diligenciamiento del FURAG y un espacio en el drive con la información a tener en cuenta (Instrucciones de diligenciamiento, videos, back up diario de los reportes, tiempos de diligenciamiento por política). Además, se remitieron dos comunicados a las dependencias con el total de preguntas definidas en el FURAG 2021 y las instrucciones de diligenciamiento del FURAG 2021. Por último, se realizaron mesas de trabajo para realizar ajustes al plan MIPG 2022 (Gobierno Digital, Seguridad Digital, Plan Anticorrupción) y se presentó el PLAN MIPG 2022 en el Comité Institucional de Gestión y Desempeño.
Indicadores: La Oficina Asesora de Planeación actualizó el tablero de indicadores con los indicadores de la vigencia 2022, así mismo se actualizaron y activaron todos los indicadores de la vigencia 2022 con sus respectivas metas en el SMART
Proyectos de Inversión en SUIFP – SPI, Anteproyecto de Presupuesto y PMR: Para el mes de febrero, se realizó en el sistema Segplan la reprogramación del Plan de Acción del PDD- UNCSAB de la Secretaría Jurídica Distrital en los componentes de gestión e inversión, territorialización y actividades para la vigencia 2022. Así mismo, se reportó la información de seguimiento físico y presupuestal a los proyectos de inversión en la herramienta SUIFP - SPI, del mes de enero de 2022. Además, se realizaron los ajustes de actualización de ficha a Decreto, de los proyectos de la Secretaría Jurídica Distrital en SUIF para la vigencia 2022 y se realizó el seguimiento y se remitió a Secretaría Distrital de Hacienda el informe de Productos, Metas y Resultados PMR con corte a 31 de enero de 2022.Por último, la Oficina Asesora de Planeación realizó el informe PMR para el periodo enero – diciembre 2021 de la Secretaría Jurídica Distrital, en cumplimiento a lo establecido en la Circular 000004 del 04 de mayo del 2021 “Guía de ejecución, seguimiento y cierre presupuestal 2021” y se consolidó el formato Excel con la proyección estimada de la inversión 2023 y 2024 de la Secretaría Jurídica Distrital en el territorio (77-Distrital y 66-Entidad). Y asistió a la Mesa de ayuda Territorialización PDD 2020-2024.
Gestión Ambiental:Durante el mes de febrero de 2022 se realizó la formulación y/o actualización del Plan de Gestión Integral de Residuos Peligrosos -PGIRP en el SMART 2022, y del Plan de Ahorro y Uso Eficiente del papel de la Entidad y su correspondiente plan de acción 2022. Así mismo, se realizó la formulación de los cinco programas de gestión ambiental y del plan de acción PIGA 2022, con las correspondientes 78 metas en el módulo de gestión ambiental del SMART Al 28 de febrero de 2022 el avance en la implementación del Plan de Acción PIGA 2022 es de 17,9%. El avance de los programas PIGA a la fecha es: ahorro y uso eficiente del agua (11,1%), ahorro y uso eficiente de la energía (20%), gestión integral de residuos sólidos: (21,7%), consumo sostenible (28,5%), implementación de prácticas sostenibles (9,09%).
Gestión Documental: Se dio inicio a la elaboración del diagnóstico integral de archivos por lo que se avanza en la construcción del documento con base en los datos recolectados el año anterior.  Además, se brindaron cinco (5) asistencias técnicas en temas de organización de los archivos, planes de trabajo para organización y traslado de expedientes al Archivo Centralizado; al personal de la Dirección de Gestión Corporativa asignado a los siguientes procesos: •	Proceso Gestión Financiera •	Proceso de Atención a la Ciudadanía. •	Proceso Gestión de Talento Humano •	Proceso de Notificaciones.  •	Proceso de gestión administrativa.
Así mismo, respecto al proceso para la convalidación de las Tablas de Retención Documental - TRD el 25 de febrero 2022 se recibió una comunicación del Secretaría de Consejo Distrital de Archivo mediante la cual hacen la devolución del instrumento requiriendo ajustes, por lo que en  el mes de marzo 2022 debe darse inicio a esta actividad. Por otro lado, frente a la aprobación del Sistema Integrado de Conservación - SIC el 25 de febrero 2022 se recibió concepto técnico emitido por parte de la Subdirección del Sistema Distrital de Archivos en la que solicita realizar ajustes al instrumento, por lo que en  el mes de marzo 2022 debe darse inicio a esta actividad. </v>
          </cell>
          <cell r="BO41"/>
          <cell r="BP41"/>
          <cell r="BQ41"/>
          <cell r="BR41"/>
          <cell r="BS41"/>
          <cell r="BT41"/>
          <cell r="BU41"/>
          <cell r="BV41"/>
          <cell r="BW41"/>
          <cell r="BX41"/>
        </row>
      </sheetData>
      <sheetData sheetId="6"/>
      <sheetData sheetId="7">
        <row r="20">
          <cell r="G20"/>
        </row>
        <row r="21">
          <cell r="G21"/>
        </row>
        <row r="22">
          <cell r="G22"/>
        </row>
        <row r="23">
          <cell r="G23"/>
        </row>
        <row r="24">
          <cell r="G24"/>
        </row>
        <row r="25">
          <cell r="G25"/>
        </row>
        <row r="26">
          <cell r="G26"/>
        </row>
        <row r="27">
          <cell r="G27"/>
        </row>
        <row r="28">
          <cell r="G28"/>
        </row>
        <row r="29">
          <cell r="G29"/>
        </row>
        <row r="30">
          <cell r="G30"/>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URIDICA"/>
      <sheetName val="7501"/>
      <sheetName val="7502"/>
      <sheetName val="7508"/>
      <sheetName val="7509"/>
      <sheetName val="COMPORTAMIENTO"/>
      <sheetName val="velocimetro"/>
      <sheetName val="DASHBOARD 1"/>
      <sheetName val="termometro"/>
      <sheetName val="PLANO DISPONIBILIDADES 28-04-20"/>
      <sheetName val="PLANO PREDIS EJECUCIONES"/>
      <sheetName val="PLAN CONTRACTUAL"/>
      <sheetName val="EJECUCIÓN "/>
      <sheetName val="CDP SIN COMPROMETER"/>
      <sheetName val="EJEC CDP"/>
      <sheetName val="TD GENER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O RESERVAS"/>
      <sheetName val="velocimetro"/>
      <sheetName val="termometro"/>
      <sheetName val="COMPORTAMIENTO"/>
      <sheetName val="Hoja1"/>
      <sheetName val="Hoja3"/>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E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RO"/>
      <sheetName val="INICIO"/>
      <sheetName val="CMI"/>
      <sheetName val="CMI VIGENCIA"/>
      <sheetName val="Gráfico1"/>
      <sheetName val="matriz"/>
      <sheetName val="POR PROCESO"/>
      <sheetName val="FICHA TECNICA"/>
      <sheetName val="CONSULTA INDICADOR"/>
      <sheetName val="TD P DESARROLLO"/>
      <sheetName val="POA 2018"/>
      <sheetName val="ESTADÍSTICAS"/>
      <sheetName val="POA 2019"/>
      <sheetName val="PLAN ESTRATÉGICO"/>
      <sheetName val="Hoja3"/>
      <sheetName val="PLAN DE GESTIÓN"/>
      <sheetName val="PLAN DE DESARROLLO"/>
      <sheetName val="CONVEN"/>
      <sheetName val="PLANES"/>
      <sheetName val="IMPERATIVOS"/>
      <sheetName val="MEDICIÓN POR PROCESO"/>
    </sheetNames>
    <sheetDataSet>
      <sheetData sheetId="0">
        <row r="19">
          <cell r="Q19" t="str">
            <v>ESTRATÉGICO</v>
          </cell>
          <cell r="R19" t="str">
            <v>TÁCTICO</v>
          </cell>
          <cell r="S19" t="str">
            <v>OPERATIVO</v>
          </cell>
        </row>
        <row r="20">
          <cell r="Q20">
            <v>1</v>
          </cell>
          <cell r="R20">
            <v>6</v>
          </cell>
          <cell r="S20">
            <v>2</v>
          </cell>
        </row>
      </sheetData>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4">
          <cell r="B24">
            <v>0</v>
          </cell>
          <cell r="C24">
            <v>0</v>
          </cell>
        </row>
        <row r="25">
          <cell r="B25">
            <v>0.12908431653574429</v>
          </cell>
          <cell r="C25">
            <v>0.99163362146737433</v>
          </cell>
        </row>
      </sheetData>
      <sheetData sheetId="19"/>
      <sheetData sheetId="2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00B217F-2EE1-4086-B6AF-0E1944C4ECCE}" name="TODAS" displayName="TODAS" ref="AB1:AB80" totalsRowShown="0" headerRowDxfId="35" dataDxfId="34">
  <sortState xmlns:xlrd2="http://schemas.microsoft.com/office/spreadsheetml/2017/richdata2" ref="AB2:AB80">
    <sortCondition ref="AB1:AB80"/>
  </sortState>
  <tableColumns count="1">
    <tableColumn id="1" xr3:uid="{968939D1-153A-47D0-B19D-1F25ACED6BC4}" name="TODAS" dataDxfId="3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0376045-0CD9-4F5F-B5A3-E2CD41117D4E}" name="OFICINA_DE_CONTROL_INTERNO" displayName="OFICINA_DE_CONTROL_INTERNO" ref="AK1:AK3" totalsRowShown="0" headerRowDxfId="8" dataDxfId="7">
  <tableColumns count="1">
    <tableColumn id="1" xr3:uid="{B5D9C40C-29DB-4C36-A363-61040D7AB500}" name="OFICINA_DE_CONTROL_INTERNO" dataDxfId="6"/>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701ED4C-4966-4EF3-82C5-3D883807C0D3}" name="OFICINA_DE_TECNOLOGÍAS_DE_LA_INFORMACIÓN_Y_LAS_COMUNICACIONES" displayName="OFICINA_DE_TECNOLOGÍAS_DE_LA_INFORMACIÓN_Y_LAS_COMUNICACIONES" ref="AL1:AL10" totalsRowShown="0" headerRowDxfId="5" dataDxfId="4">
  <tableColumns count="1">
    <tableColumn id="1" xr3:uid="{E2D8BFE1-C8E0-4B64-A2BD-0631FB39BB14}" name="OFICINA_DE_TECNOLOGÍAS_DE_LA_INFORMACIÓN_Y_LAS_COMUNICACIONES" dataDxfId="3"/>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314B097-ADE6-4DFC-81E0-003EE4AFFB1F}" name="SUBSECRETARÍA_JURÍDICA_DISTRITAL" displayName="SUBSECRETARÍA_JURÍDICA_DISTRITAL" ref="AM1:AM4" totalsRowShown="0" headerRowDxfId="2" dataDxfId="1">
  <tableColumns count="1">
    <tableColumn id="1" xr3:uid="{C1042401-2FF6-4612-BEA3-C3076F2248B1}" name="SUBSECRETARÍA_JURÍDICA_DISTRITAL"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F6FD4C4-88CA-400E-B93C-716214442389}" name="DESPACHO_SECRETARÍA_JURÍDICA" displayName="DESPACHO_SECRETARÍA_JURÍDICA" ref="AC1:AC3" totalsRowShown="0" headerRowDxfId="32" dataDxfId="31">
  <tableColumns count="1">
    <tableColumn id="1" xr3:uid="{ADAD7ACF-D24C-420B-A870-10CD99EE5099}" name="DESPACHO_SECRETARÍA_JURÍDICA" dataDxfId="3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95C680-5890-46EA-AD63-DFFA491014DD}" name="DIRECCIÓN_DE_GESTIÓN_CORPORATIVA" displayName="DIRECCIÓN_DE_GESTIÓN_CORPORATIVA" ref="AD1:AD18" totalsRowShown="0" headerRowDxfId="29" dataDxfId="28">
  <sortState xmlns:xlrd2="http://schemas.microsoft.com/office/spreadsheetml/2017/richdata2" ref="AD2:AD18">
    <sortCondition ref="AD1:AD18"/>
  </sortState>
  <tableColumns count="1">
    <tableColumn id="1" xr3:uid="{4BC0070B-A8CB-43C1-BEE0-0B6A7DF125EE}" name="DIRECCIÓN_DE_GESTIÓN_CORPORATIVA" dataDxfId="2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7E7F86B-132E-47B2-80EA-54773CC230A6}" name="DIRECCIÓN_DISTRITAL_DE_ASUNTOS_DISCIPLINARIOS" displayName="DIRECCIÓN_DISTRITAL_DE_ASUNTOS_DISCIPLINARIOS" ref="AE1:AE8" totalsRowShown="0" headerRowDxfId="26" dataDxfId="25">
  <tableColumns count="1">
    <tableColumn id="1" xr3:uid="{9961DAF2-DB13-4151-9122-B50551FE8DBC}" name="DIRECCIÓN_DISTRITAL_DE_ASUNTOS_DISCIPLINARIOS" dataDxfId="24"/>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F23B845-7046-4B81-87D4-AFCD5ADA8649}" name="DIRECCIÓN_DISTRITAL_DE_DOCTRINA_Y_ASUNTOS_NORMATIVOS" displayName="DIRECCIÓN_DISTRITAL_DE_DOCTRINA_Y_ASUNTOS_NORMATIVOS" ref="AF1:AF5" totalsRowShown="0" headerRowDxfId="23" dataDxfId="22">
  <tableColumns count="1">
    <tableColumn id="1" xr3:uid="{34CD9080-266D-4EA8-BC7F-2DC53966CB71}" name="DIRECCIÓN_DISTRITAL_DE_DOCTRINA_Y_ASUNTOS_NORMATIVOS" dataDxfId="2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F0EA662-5629-4B36-902F-DCD8BF5A6F1B}" name="DIRECCIÓN_DISTRITAL_DE_GESTIÓN_JUDICIAL" displayName="DIRECCIÓN_DISTRITAL_DE_GESTIÓN_JUDICIAL" ref="AG1:AG5" totalsRowShown="0" headerRowDxfId="20" dataDxfId="19">
  <tableColumns count="1">
    <tableColumn id="1" xr3:uid="{DD34FD87-C271-4C34-9B3B-10A1AD5C7D65}" name="DIRECCIÓN_DISTRITAL_DE_GESTIÓN_JUDICIAL" dataDxfId="18"/>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E7E5D65-08FB-4545-B998-1EB7364ED1B7}" name="DIRECCIÓN_DISTRITAL_DE_INSPECCIÓN_VIGILANCIA_Y_CONTROL" displayName="DIRECCIÓN_DISTRITAL_DE_INSPECCIÓN_VIGILANCIA_Y_CONTROL" ref="AH1:AH7" totalsRowShown="0" headerRowDxfId="17" dataDxfId="16">
  <tableColumns count="1">
    <tableColumn id="1" xr3:uid="{5FCBA818-B8F1-4D99-9C2B-0A2A714EEECE}" name="DIRECCIÓN_DISTRITAL_DE_INSPECCIÓN_VIGILANCIA_Y_CONTROL" dataDxfId="1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B3DF224-3506-474A-BE35-CE041DA5E0E1}" name="DIRECCIÓN_DISTRITAL_DE_POLÍTICA_JURÍDICA" displayName="DIRECCIÓN_DISTRITAL_DE_POLÍTICA_JURÍDICA" ref="AI1:AI17" totalsRowShown="0" headerRowDxfId="14" dataDxfId="13">
  <tableColumns count="1">
    <tableColumn id="1" xr3:uid="{58292275-E980-4CC1-9019-6035E49FF180}" name="DIRECCIÓN_DISTRITAL_DE_POLÍTICA_JURÍDICA" dataDxfId="12"/>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62085BA-B335-4196-A1B8-5D4EA5F79FF4}" name="OFICINA_ASESORA_DE_PLANEACIÓN" displayName="OFICINA_ASESORA_DE_PLANEACIÓN" ref="AJ1:AJ11" totalsRowShown="0" headerRowDxfId="11" dataDxfId="10">
  <tableColumns count="1">
    <tableColumn id="1" xr3:uid="{807B70EE-E73D-4C34-A8B4-D61BA2EAFAD2}" name="OFICINA_ASESORA_DE_PLANEACIÓN" dataDxfId="9"/>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vmlDrawing" Target="../drawings/vmlDrawing3.vml"/><Relationship Id="rId7" Type="http://schemas.openxmlformats.org/officeDocument/2006/relationships/table" Target="../tables/table4.xml"/><Relationship Id="rId12" Type="http://schemas.openxmlformats.org/officeDocument/2006/relationships/table" Target="../tables/table9.xml"/><Relationship Id="rId2" Type="http://schemas.openxmlformats.org/officeDocument/2006/relationships/drawing" Target="../drawings/drawing20.xml"/><Relationship Id="rId16" Type="http://schemas.openxmlformats.org/officeDocument/2006/relationships/comments" Target="../comments3.xml"/><Relationship Id="rId1" Type="http://schemas.openxmlformats.org/officeDocument/2006/relationships/printerSettings" Target="../printerSettings/printerSettings5.bin"/><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D76D-8777-4187-A3C5-2E65EF7E6855}">
  <dimension ref="A1:AF114"/>
  <sheetViews>
    <sheetView showGridLines="0" tabSelected="1" zoomScale="40" zoomScaleNormal="40" workbookViewId="0">
      <selection activeCell="O1" sqref="O1:AF40"/>
    </sheetView>
  </sheetViews>
  <sheetFormatPr baseColWidth="10" defaultColWidth="11.42578125" defaultRowHeight="15" x14ac:dyDescent="0.25"/>
  <cols>
    <col min="1" max="1" width="0.5703125" customWidth="1"/>
    <col min="6" max="6" width="14.140625" customWidth="1"/>
    <col min="7" max="7" width="21.5703125" customWidth="1"/>
    <col min="8" max="8" width="26.42578125" customWidth="1"/>
    <col min="11" max="11" width="16.5703125" customWidth="1"/>
    <col min="12" max="12" width="13.5703125" customWidth="1"/>
    <col min="14" max="14" width="15.42578125" customWidth="1"/>
    <col min="25" max="25" width="75.5703125" customWidth="1"/>
    <col min="26" max="26" width="25.42578125" customWidth="1"/>
    <col min="27" max="27" width="20.42578125" customWidth="1"/>
    <col min="28" max="28" width="23.42578125" customWidth="1"/>
    <col min="29" max="29" width="11.140625" customWidth="1"/>
    <col min="30" max="30" width="29.140625" customWidth="1"/>
    <col min="31" max="31" width="12.42578125" customWidth="1"/>
    <col min="32" max="32" width="40.5703125" customWidth="1"/>
    <col min="36" max="36" width="14.42578125" bestFit="1" customWidth="1"/>
  </cols>
  <sheetData>
    <row r="1" spans="2:32" x14ac:dyDescent="0.25">
      <c r="B1" s="554"/>
      <c r="C1" s="554"/>
      <c r="D1" s="554"/>
      <c r="E1" s="554"/>
      <c r="F1" s="554"/>
      <c r="G1" s="554"/>
      <c r="H1" s="554"/>
      <c r="I1" s="554"/>
      <c r="J1" s="554"/>
      <c r="K1" s="554"/>
      <c r="L1" s="554"/>
      <c r="M1" s="554"/>
      <c r="N1" s="554"/>
      <c r="O1" s="554"/>
      <c r="P1" s="554"/>
      <c r="Q1" s="554"/>
      <c r="R1" s="554"/>
      <c r="S1" s="554"/>
      <c r="T1" s="554"/>
      <c r="U1" s="554"/>
      <c r="V1" s="554"/>
      <c r="W1" s="554"/>
      <c r="X1" s="554"/>
      <c r="Y1" s="554"/>
      <c r="Z1" s="554"/>
      <c r="AA1" s="554"/>
      <c r="AB1" s="554"/>
      <c r="AC1" s="554"/>
      <c r="AD1" s="554"/>
      <c r="AE1" s="554"/>
      <c r="AF1" s="554"/>
    </row>
    <row r="2" spans="2:32" x14ac:dyDescent="0.25">
      <c r="B2" s="554"/>
      <c r="C2" s="554"/>
      <c r="D2" s="554"/>
      <c r="E2" s="554"/>
      <c r="F2" s="554"/>
      <c r="G2" s="554"/>
      <c r="H2" s="554"/>
      <c r="I2" s="554"/>
      <c r="J2" s="554"/>
      <c r="K2" s="554"/>
      <c r="L2" s="554"/>
      <c r="M2" s="554"/>
      <c r="N2" s="554"/>
      <c r="O2" s="554"/>
      <c r="P2" s="554"/>
      <c r="Q2" s="554"/>
      <c r="R2" s="554"/>
      <c r="S2" s="554"/>
      <c r="T2" s="554"/>
      <c r="U2" s="554"/>
      <c r="V2" s="554"/>
      <c r="W2" s="554"/>
      <c r="X2" s="554"/>
      <c r="Y2" s="554"/>
      <c r="Z2" s="554"/>
      <c r="AA2" s="554"/>
      <c r="AB2" s="554"/>
      <c r="AC2" s="554"/>
      <c r="AD2" s="554"/>
      <c r="AE2" s="554"/>
      <c r="AF2" s="554"/>
    </row>
    <row r="3" spans="2:32" x14ac:dyDescent="0.25">
      <c r="B3" s="554"/>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4"/>
      <c r="AD3" s="554"/>
      <c r="AE3" s="554"/>
      <c r="AF3" s="554"/>
    </row>
    <row r="4" spans="2:32" x14ac:dyDescent="0.25">
      <c r="B4" s="554"/>
      <c r="C4" s="554"/>
      <c r="D4" s="554"/>
      <c r="E4" s="554"/>
      <c r="F4" s="554"/>
      <c r="G4" s="554"/>
      <c r="H4" s="554"/>
      <c r="I4" s="554"/>
      <c r="J4" s="554"/>
      <c r="K4" s="554"/>
      <c r="L4" s="554"/>
      <c r="M4" s="554"/>
      <c r="N4" s="554"/>
      <c r="O4" s="554"/>
      <c r="P4" s="554"/>
      <c r="Q4" s="554"/>
      <c r="R4" s="554"/>
      <c r="S4" s="554"/>
      <c r="T4" s="554"/>
      <c r="U4" s="554"/>
      <c r="V4" s="554"/>
      <c r="W4" s="554"/>
      <c r="X4" s="554"/>
      <c r="Y4" s="554"/>
      <c r="Z4" s="554"/>
      <c r="AA4" s="554"/>
      <c r="AB4" s="554"/>
      <c r="AC4" s="554"/>
      <c r="AD4" s="554"/>
      <c r="AE4" s="554"/>
      <c r="AF4" s="554"/>
    </row>
    <row r="5" spans="2:32" x14ac:dyDescent="0.25">
      <c r="B5" s="554"/>
      <c r="C5" s="554"/>
      <c r="D5" s="554"/>
      <c r="E5" s="554"/>
      <c r="F5" s="554"/>
      <c r="G5" s="554"/>
      <c r="H5" s="554"/>
      <c r="I5" s="554"/>
      <c r="J5" s="554"/>
      <c r="K5" s="554"/>
      <c r="L5" s="554"/>
      <c r="M5" s="554"/>
      <c r="N5" s="554"/>
      <c r="O5" s="554"/>
      <c r="P5" s="554"/>
      <c r="Q5" s="554"/>
      <c r="R5" s="554"/>
      <c r="S5" s="554"/>
      <c r="T5" s="554"/>
      <c r="U5" s="554"/>
      <c r="V5" s="554"/>
      <c r="W5" s="554"/>
      <c r="X5" s="554"/>
      <c r="Y5" s="554"/>
      <c r="Z5" s="554"/>
      <c r="AA5" s="554"/>
      <c r="AB5" s="554"/>
      <c r="AC5" s="554"/>
      <c r="AD5" s="554"/>
      <c r="AE5" s="554"/>
      <c r="AF5" s="554"/>
    </row>
    <row r="6" spans="2:32" x14ac:dyDescent="0.25">
      <c r="B6" s="554"/>
      <c r="C6" s="554"/>
      <c r="D6" s="554"/>
      <c r="E6" s="554"/>
      <c r="F6" s="554"/>
      <c r="G6" s="554"/>
      <c r="H6" s="554"/>
      <c r="I6" s="554"/>
      <c r="J6" s="554"/>
      <c r="K6" s="554"/>
      <c r="L6" s="554"/>
      <c r="M6" s="554"/>
      <c r="N6" s="554"/>
      <c r="O6" s="554"/>
      <c r="P6" s="554"/>
      <c r="Q6" s="554"/>
      <c r="R6" s="554"/>
      <c r="S6" s="554"/>
      <c r="T6" s="554"/>
      <c r="U6" s="554"/>
      <c r="V6" s="554"/>
      <c r="W6" s="554"/>
      <c r="X6" s="554"/>
      <c r="Y6" s="554"/>
      <c r="Z6" s="554"/>
      <c r="AA6" s="554"/>
      <c r="AB6" s="554"/>
      <c r="AC6" s="554"/>
      <c r="AD6" s="554"/>
      <c r="AE6" s="554"/>
      <c r="AF6" s="554"/>
    </row>
    <row r="7" spans="2:32" x14ac:dyDescent="0.25">
      <c r="B7" s="554"/>
      <c r="C7" s="554"/>
      <c r="D7" s="554"/>
      <c r="E7" s="554"/>
      <c r="F7" s="554"/>
      <c r="G7" s="554"/>
      <c r="H7" s="554"/>
      <c r="I7" s="554"/>
      <c r="J7" s="554"/>
      <c r="K7" s="554"/>
      <c r="L7" s="554"/>
      <c r="M7" s="554"/>
      <c r="N7" s="554"/>
      <c r="O7" s="554"/>
      <c r="P7" s="554"/>
      <c r="Q7" s="554"/>
      <c r="R7" s="554"/>
      <c r="S7" s="554"/>
      <c r="T7" s="554"/>
      <c r="U7" s="554"/>
      <c r="V7" s="554"/>
      <c r="W7" s="554"/>
      <c r="X7" s="554"/>
      <c r="Y7" s="554"/>
      <c r="Z7" s="554"/>
      <c r="AA7" s="554"/>
      <c r="AB7" s="554"/>
      <c r="AC7" s="554"/>
      <c r="AD7" s="554"/>
      <c r="AE7" s="554"/>
      <c r="AF7" s="554"/>
    </row>
    <row r="8" spans="2:32" x14ac:dyDescent="0.25">
      <c r="B8" s="554"/>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554"/>
    </row>
    <row r="9" spans="2:32" x14ac:dyDescent="0.25">
      <c r="B9" s="554"/>
      <c r="C9" s="554"/>
      <c r="D9" s="554"/>
      <c r="E9" s="554"/>
      <c r="F9" s="554"/>
      <c r="G9" s="554"/>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row>
    <row r="10" spans="2:32" x14ac:dyDescent="0.25">
      <c r="B10" s="554"/>
      <c r="C10" s="554"/>
      <c r="D10" s="554"/>
      <c r="E10" s="554"/>
      <c r="F10" s="554"/>
      <c r="G10" s="554"/>
      <c r="H10" s="554"/>
      <c r="I10" s="554"/>
      <c r="J10" s="554"/>
      <c r="K10" s="554"/>
      <c r="L10" s="554"/>
      <c r="M10" s="554"/>
      <c r="N10" s="554"/>
      <c r="O10" s="554"/>
      <c r="P10" s="554"/>
      <c r="Q10" s="554"/>
      <c r="R10" s="554"/>
      <c r="S10" s="554"/>
      <c r="T10" s="554"/>
      <c r="U10" s="554"/>
      <c r="V10" s="554"/>
      <c r="W10" s="554"/>
      <c r="X10" s="554"/>
      <c r="Y10" s="554"/>
      <c r="Z10" s="554"/>
      <c r="AA10" s="554"/>
      <c r="AB10" s="554"/>
      <c r="AC10" s="554"/>
      <c r="AD10" s="554"/>
      <c r="AE10" s="554"/>
      <c r="AF10" s="554"/>
    </row>
    <row r="11" spans="2:32" x14ac:dyDescent="0.25">
      <c r="B11" s="554"/>
      <c r="C11" s="554"/>
      <c r="D11" s="554"/>
      <c r="E11" s="554"/>
      <c r="F11" s="554"/>
      <c r="G11" s="554"/>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row>
    <row r="12" spans="2:32" x14ac:dyDescent="0.25">
      <c r="B12" s="554"/>
      <c r="C12" s="554"/>
      <c r="D12" s="554"/>
      <c r="E12" s="554"/>
      <c r="F12" s="554"/>
      <c r="G12" s="554"/>
      <c r="H12" s="554"/>
      <c r="I12" s="554"/>
      <c r="J12" s="554"/>
      <c r="K12" s="554"/>
      <c r="L12" s="554"/>
      <c r="M12" s="554"/>
      <c r="N12" s="554"/>
      <c r="O12" s="554"/>
      <c r="P12" s="554"/>
      <c r="Q12" s="554"/>
      <c r="R12" s="554"/>
      <c r="S12" s="554"/>
      <c r="T12" s="554"/>
      <c r="U12" s="554"/>
      <c r="V12" s="554"/>
      <c r="W12" s="554"/>
      <c r="X12" s="554"/>
      <c r="Y12" s="554"/>
      <c r="Z12" s="554"/>
      <c r="AA12" s="554"/>
      <c r="AB12" s="554"/>
      <c r="AC12" s="554"/>
      <c r="AD12" s="554"/>
      <c r="AE12" s="554"/>
      <c r="AF12" s="554"/>
    </row>
    <row r="13" spans="2:32" x14ac:dyDescent="0.25">
      <c r="B13" s="554"/>
      <c r="C13" s="554"/>
      <c r="D13" s="554"/>
      <c r="E13" s="554"/>
      <c r="F13" s="554"/>
      <c r="G13" s="554"/>
      <c r="H13" s="554"/>
      <c r="I13" s="554"/>
      <c r="J13" s="554"/>
      <c r="K13" s="554"/>
      <c r="L13" s="554"/>
      <c r="M13" s="554"/>
      <c r="N13" s="554"/>
      <c r="O13" s="554"/>
      <c r="P13" s="554"/>
      <c r="Q13" s="554"/>
      <c r="R13" s="554"/>
      <c r="S13" s="554"/>
      <c r="T13" s="554"/>
      <c r="U13" s="554"/>
      <c r="V13" s="554"/>
      <c r="W13" s="554"/>
      <c r="X13" s="554"/>
      <c r="Y13" s="554"/>
      <c r="Z13" s="554"/>
      <c r="AA13" s="554"/>
      <c r="AB13" s="554"/>
      <c r="AC13" s="554"/>
      <c r="AD13" s="554"/>
      <c r="AE13" s="554"/>
      <c r="AF13" s="554"/>
    </row>
    <row r="14" spans="2:32" x14ac:dyDescent="0.25">
      <c r="B14" s="554"/>
      <c r="C14" s="554"/>
      <c r="D14" s="554"/>
      <c r="E14" s="554"/>
      <c r="F14" s="554"/>
      <c r="G14" s="554"/>
      <c r="H14" s="554"/>
      <c r="I14" s="554"/>
      <c r="J14" s="554"/>
      <c r="K14" s="554"/>
      <c r="L14" s="554"/>
      <c r="M14" s="554"/>
      <c r="N14" s="554"/>
      <c r="O14" s="554"/>
      <c r="P14" s="554"/>
      <c r="Q14" s="554"/>
      <c r="R14" s="554"/>
      <c r="S14" s="554"/>
      <c r="T14" s="554"/>
      <c r="U14" s="554"/>
      <c r="V14" s="554"/>
      <c r="W14" s="554"/>
      <c r="X14" s="554"/>
      <c r="Y14" s="554"/>
      <c r="Z14" s="554"/>
      <c r="AA14" s="554"/>
      <c r="AB14" s="554"/>
      <c r="AC14" s="554"/>
      <c r="AD14" s="554"/>
      <c r="AE14" s="554"/>
      <c r="AF14" s="554"/>
    </row>
    <row r="15" spans="2:32" x14ac:dyDescent="0.25">
      <c r="B15" s="554"/>
      <c r="C15" s="554"/>
      <c r="D15" s="554"/>
      <c r="E15" s="554"/>
      <c r="F15" s="554"/>
      <c r="G15" s="554"/>
      <c r="H15" s="554"/>
      <c r="I15" s="554"/>
      <c r="J15" s="554"/>
      <c r="K15" s="554"/>
      <c r="L15" s="554"/>
      <c r="M15" s="554"/>
      <c r="N15" s="554"/>
      <c r="O15" s="554"/>
      <c r="P15" s="554"/>
      <c r="Q15" s="554"/>
      <c r="R15" s="554"/>
      <c r="S15" s="554"/>
      <c r="T15" s="554"/>
      <c r="U15" s="554"/>
      <c r="V15" s="554"/>
      <c r="W15" s="554"/>
      <c r="X15" s="554"/>
      <c r="Y15" s="554"/>
      <c r="Z15" s="554"/>
      <c r="AA15" s="554"/>
      <c r="AB15" s="554"/>
      <c r="AC15" s="554"/>
      <c r="AD15" s="554"/>
      <c r="AE15" s="554"/>
      <c r="AF15" s="554"/>
    </row>
    <row r="16" spans="2:32" x14ac:dyDescent="0.25">
      <c r="B16" s="554"/>
      <c r="C16" s="554"/>
      <c r="D16" s="554"/>
      <c r="E16" s="554"/>
      <c r="F16" s="554"/>
      <c r="G16" s="554"/>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4"/>
    </row>
    <row r="17" spans="2:32" x14ac:dyDescent="0.25">
      <c r="B17" s="554"/>
      <c r="C17" s="554"/>
      <c r="D17" s="554"/>
      <c r="E17" s="554"/>
      <c r="F17" s="554"/>
      <c r="G17" s="554"/>
      <c r="H17" s="554"/>
      <c r="I17" s="554"/>
      <c r="J17" s="554"/>
      <c r="K17" s="554"/>
      <c r="L17" s="554"/>
      <c r="M17" s="554"/>
      <c r="N17" s="554"/>
      <c r="O17" s="554"/>
      <c r="P17" s="554"/>
      <c r="Q17" s="554"/>
      <c r="R17" s="554"/>
      <c r="S17" s="554"/>
      <c r="T17" s="554"/>
      <c r="U17" s="554"/>
      <c r="V17" s="554"/>
      <c r="W17" s="554"/>
      <c r="X17" s="554"/>
      <c r="Y17" s="554"/>
      <c r="Z17" s="554"/>
      <c r="AA17" s="554"/>
      <c r="AB17" s="554"/>
      <c r="AC17" s="554"/>
      <c r="AD17" s="554"/>
      <c r="AE17" s="554"/>
      <c r="AF17" s="554"/>
    </row>
    <row r="18" spans="2:32" x14ac:dyDescent="0.25">
      <c r="B18" s="554"/>
      <c r="C18" s="554"/>
      <c r="D18" s="554"/>
      <c r="E18" s="554"/>
      <c r="F18" s="554"/>
      <c r="G18" s="554"/>
      <c r="H18" s="554"/>
      <c r="I18" s="554"/>
      <c r="J18" s="554"/>
      <c r="K18" s="554"/>
      <c r="L18" s="554"/>
      <c r="M18" s="554"/>
      <c r="N18" s="554"/>
      <c r="O18" s="554"/>
      <c r="P18" s="554"/>
      <c r="Q18" s="554"/>
      <c r="R18" s="554"/>
      <c r="S18" s="554"/>
      <c r="T18" s="554"/>
      <c r="U18" s="554"/>
      <c r="V18" s="554"/>
      <c r="W18" s="554"/>
      <c r="X18" s="554"/>
      <c r="Y18" s="554"/>
      <c r="Z18" s="554"/>
      <c r="AA18" s="554"/>
      <c r="AB18" s="554"/>
      <c r="AC18" s="554"/>
      <c r="AD18" s="554"/>
      <c r="AE18" s="554"/>
      <c r="AF18" s="554"/>
    </row>
    <row r="19" spans="2:32" x14ac:dyDescent="0.25">
      <c r="B19" s="554"/>
      <c r="C19" s="554"/>
      <c r="D19" s="554"/>
      <c r="E19" s="554"/>
      <c r="F19" s="554"/>
      <c r="G19" s="554"/>
      <c r="H19" s="554"/>
      <c r="I19" s="554"/>
      <c r="J19" s="554"/>
      <c r="K19" s="554"/>
      <c r="L19" s="554"/>
      <c r="M19" s="554"/>
      <c r="N19" s="554"/>
      <c r="O19" s="554"/>
      <c r="P19" s="554"/>
      <c r="Q19" s="554"/>
      <c r="R19" s="554"/>
      <c r="S19" s="554"/>
      <c r="T19" s="554"/>
      <c r="U19" s="554"/>
      <c r="V19" s="554"/>
      <c r="W19" s="554"/>
      <c r="X19" s="554"/>
      <c r="Y19" s="554"/>
      <c r="Z19" s="554"/>
      <c r="AA19" s="554"/>
      <c r="AB19" s="554"/>
      <c r="AC19" s="554"/>
      <c r="AD19" s="554"/>
      <c r="AE19" s="554"/>
      <c r="AF19" s="554"/>
    </row>
    <row r="20" spans="2:32" x14ac:dyDescent="0.25">
      <c r="B20" s="554"/>
      <c r="C20" s="554"/>
      <c r="D20" s="554"/>
      <c r="E20" s="554"/>
      <c r="F20" s="554"/>
      <c r="G20" s="554"/>
      <c r="H20" s="554"/>
      <c r="I20" s="554"/>
      <c r="J20" s="554"/>
      <c r="K20" s="554"/>
      <c r="L20" s="554"/>
      <c r="M20" s="554"/>
      <c r="N20" s="554"/>
      <c r="O20" s="554"/>
      <c r="P20" s="554"/>
      <c r="Q20" s="554"/>
      <c r="R20" s="554"/>
      <c r="S20" s="554"/>
      <c r="T20" s="554"/>
      <c r="U20" s="554"/>
      <c r="V20" s="554"/>
      <c r="W20" s="554"/>
      <c r="X20" s="554"/>
      <c r="Y20" s="554"/>
      <c r="Z20" s="554"/>
      <c r="AA20" s="554"/>
      <c r="AB20" s="554"/>
      <c r="AC20" s="554"/>
      <c r="AD20" s="554"/>
      <c r="AE20" s="554"/>
      <c r="AF20" s="554"/>
    </row>
    <row r="21" spans="2:32" x14ac:dyDescent="0.25">
      <c r="B21" s="554"/>
      <c r="C21" s="554"/>
      <c r="D21" s="554"/>
      <c r="E21" s="554"/>
      <c r="F21" s="554"/>
      <c r="G21" s="554"/>
      <c r="H21" s="554"/>
      <c r="I21" s="554"/>
      <c r="J21" s="554"/>
      <c r="K21" s="554"/>
      <c r="L21" s="554"/>
      <c r="M21" s="554"/>
      <c r="N21" s="554"/>
      <c r="O21" s="554"/>
      <c r="P21" s="554"/>
      <c r="Q21" s="554"/>
      <c r="R21" s="554"/>
      <c r="S21" s="554"/>
      <c r="T21" s="554"/>
      <c r="U21" s="554"/>
      <c r="V21" s="554"/>
      <c r="W21" s="554"/>
      <c r="X21" s="554"/>
      <c r="Y21" s="554"/>
      <c r="Z21" s="554"/>
      <c r="AA21" s="554"/>
      <c r="AB21" s="554"/>
      <c r="AC21" s="554"/>
      <c r="AD21" s="554"/>
      <c r="AE21" s="554"/>
      <c r="AF21" s="554"/>
    </row>
    <row r="22" spans="2:32" x14ac:dyDescent="0.25">
      <c r="B22" s="554"/>
      <c r="C22" s="554"/>
      <c r="D22" s="554"/>
      <c r="E22" s="554"/>
      <c r="F22" s="554"/>
      <c r="G22" s="554"/>
      <c r="H22" s="554"/>
      <c r="I22" s="554"/>
      <c r="J22" s="554"/>
      <c r="K22" s="554"/>
      <c r="L22" s="554"/>
      <c r="M22" s="554"/>
      <c r="N22" s="554"/>
      <c r="O22" s="554"/>
      <c r="P22" s="554"/>
      <c r="Q22" s="554"/>
      <c r="R22" s="554"/>
      <c r="S22" s="554"/>
      <c r="T22" s="554"/>
      <c r="U22" s="554"/>
      <c r="V22" s="554"/>
      <c r="W22" s="554"/>
      <c r="X22" s="554"/>
      <c r="Y22" s="554"/>
      <c r="Z22" s="554"/>
      <c r="AA22" s="554"/>
      <c r="AB22" s="554"/>
      <c r="AC22" s="554"/>
      <c r="AD22" s="554"/>
      <c r="AE22" s="554"/>
      <c r="AF22" s="554"/>
    </row>
    <row r="23" spans="2:32" x14ac:dyDescent="0.25">
      <c r="B23" s="554"/>
      <c r="C23" s="554"/>
      <c r="D23" s="554"/>
      <c r="E23" s="554"/>
      <c r="F23" s="554"/>
      <c r="G23" s="554"/>
      <c r="H23" s="554"/>
      <c r="I23" s="554"/>
      <c r="J23" s="554"/>
      <c r="K23" s="554"/>
      <c r="L23" s="554"/>
      <c r="M23" s="554"/>
      <c r="N23" s="554"/>
      <c r="O23" s="554"/>
      <c r="P23" s="554"/>
      <c r="Q23" s="554"/>
      <c r="R23" s="554"/>
      <c r="S23" s="554"/>
      <c r="T23" s="554"/>
      <c r="U23" s="554"/>
      <c r="V23" s="554"/>
      <c r="W23" s="554"/>
      <c r="X23" s="554"/>
      <c r="Y23" s="554"/>
      <c r="Z23" s="554"/>
      <c r="AA23" s="554"/>
      <c r="AB23" s="554"/>
      <c r="AC23" s="554"/>
      <c r="AD23" s="554"/>
      <c r="AE23" s="554"/>
      <c r="AF23" s="554"/>
    </row>
    <row r="24" spans="2:32" x14ac:dyDescent="0.25">
      <c r="B24" s="554"/>
      <c r="C24" s="554"/>
      <c r="D24" s="554"/>
      <c r="E24" s="554"/>
      <c r="F24" s="554"/>
      <c r="G24" s="554"/>
      <c r="H24" s="554"/>
      <c r="I24" s="554"/>
      <c r="J24" s="554"/>
      <c r="K24" s="554"/>
      <c r="L24" s="554"/>
      <c r="M24" s="554"/>
      <c r="N24" s="554"/>
      <c r="O24" s="554"/>
      <c r="P24" s="554"/>
      <c r="Q24" s="554"/>
      <c r="R24" s="554"/>
      <c r="S24" s="554"/>
      <c r="T24" s="554"/>
      <c r="U24" s="554"/>
      <c r="V24" s="554"/>
      <c r="W24" s="554"/>
      <c r="X24" s="554"/>
      <c r="Y24" s="554"/>
      <c r="Z24" s="554"/>
      <c r="AA24" s="554"/>
      <c r="AB24" s="554"/>
      <c r="AC24" s="554"/>
      <c r="AD24" s="554"/>
      <c r="AE24" s="554"/>
      <c r="AF24" s="554"/>
    </row>
    <row r="25" spans="2:32" ht="43.35" customHeight="1" x14ac:dyDescent="0.25">
      <c r="B25" s="554"/>
      <c r="C25" s="554"/>
      <c r="D25" s="554"/>
      <c r="E25" s="554"/>
      <c r="F25" s="554"/>
      <c r="G25" s="554"/>
      <c r="H25" s="554"/>
      <c r="I25" s="554"/>
      <c r="J25" s="554"/>
      <c r="K25" s="554"/>
      <c r="L25" s="554"/>
      <c r="M25" s="554"/>
      <c r="N25" s="554"/>
      <c r="O25" s="554"/>
      <c r="P25" s="554"/>
      <c r="Q25" s="554"/>
      <c r="R25" s="554"/>
      <c r="S25" s="554"/>
      <c r="T25" s="554"/>
      <c r="U25" s="554"/>
      <c r="V25" s="554"/>
      <c r="W25" s="554"/>
      <c r="X25" s="554"/>
      <c r="Y25" s="554"/>
      <c r="Z25" s="554"/>
      <c r="AA25" s="554"/>
      <c r="AB25" s="554"/>
      <c r="AC25" s="554"/>
      <c r="AD25" s="554"/>
      <c r="AE25" s="554"/>
      <c r="AF25" s="554"/>
    </row>
    <row r="26" spans="2:32" ht="43.35" customHeight="1" x14ac:dyDescent="0.25">
      <c r="B26" s="554"/>
      <c r="C26" s="554"/>
      <c r="D26" s="554"/>
      <c r="E26" s="554"/>
      <c r="F26" s="554"/>
      <c r="G26" s="554"/>
      <c r="H26" s="554"/>
      <c r="I26" s="554"/>
      <c r="J26" s="554"/>
      <c r="K26" s="554"/>
      <c r="L26" s="554"/>
      <c r="M26" s="554"/>
      <c r="N26" s="554"/>
      <c r="O26" s="554"/>
      <c r="P26" s="554"/>
      <c r="Q26" s="554"/>
      <c r="R26" s="554"/>
      <c r="S26" s="554"/>
      <c r="T26" s="554"/>
      <c r="U26" s="554"/>
      <c r="V26" s="554"/>
      <c r="W26" s="554"/>
      <c r="X26" s="554"/>
      <c r="Y26" s="554"/>
      <c r="Z26" s="554"/>
      <c r="AA26" s="554"/>
      <c r="AB26" s="554"/>
      <c r="AC26" s="554"/>
      <c r="AD26" s="554"/>
      <c r="AE26" s="554"/>
      <c r="AF26" s="554"/>
    </row>
    <row r="27" spans="2:32" ht="43.35" customHeight="1" x14ac:dyDescent="0.25">
      <c r="B27" s="554"/>
      <c r="C27" s="554"/>
      <c r="D27" s="554"/>
      <c r="E27" s="554"/>
      <c r="F27" s="554"/>
      <c r="G27" s="554"/>
      <c r="H27" s="554"/>
      <c r="I27" s="554"/>
      <c r="J27" s="554"/>
      <c r="K27" s="554"/>
      <c r="L27" s="554"/>
      <c r="M27" s="554"/>
      <c r="N27" s="554"/>
      <c r="O27" s="554"/>
      <c r="P27" s="554"/>
      <c r="Q27" s="554"/>
      <c r="R27" s="554"/>
      <c r="S27" s="554"/>
      <c r="T27" s="554"/>
      <c r="U27" s="554"/>
      <c r="V27" s="554"/>
      <c r="W27" s="554"/>
      <c r="X27" s="554"/>
      <c r="Y27" s="554"/>
      <c r="Z27" s="554"/>
      <c r="AA27" s="554"/>
      <c r="AB27" s="554"/>
      <c r="AC27" s="554"/>
      <c r="AD27" s="554"/>
      <c r="AE27" s="554"/>
      <c r="AF27" s="554"/>
    </row>
    <row r="28" spans="2:32" x14ac:dyDescent="0.25">
      <c r="B28" s="554"/>
      <c r="C28" s="554"/>
      <c r="D28" s="554"/>
      <c r="E28" s="554"/>
      <c r="F28" s="554"/>
      <c r="G28" s="554"/>
      <c r="H28" s="554"/>
      <c r="I28" s="554"/>
      <c r="J28" s="554"/>
      <c r="K28" s="554"/>
      <c r="L28" s="554"/>
      <c r="M28" s="554"/>
      <c r="N28" s="554"/>
      <c r="O28" s="554"/>
      <c r="P28" s="554"/>
      <c r="Q28" s="554"/>
      <c r="R28" s="554"/>
      <c r="S28" s="554"/>
      <c r="T28" s="554"/>
      <c r="U28" s="554"/>
      <c r="V28" s="554"/>
      <c r="W28" s="554"/>
      <c r="X28" s="554"/>
      <c r="Y28" s="554"/>
      <c r="Z28" s="554"/>
      <c r="AA28" s="554"/>
      <c r="AB28" s="554"/>
      <c r="AC28" s="554"/>
      <c r="AD28" s="554"/>
      <c r="AE28" s="554"/>
      <c r="AF28" s="554"/>
    </row>
    <row r="29" spans="2:32" ht="42" customHeight="1" x14ac:dyDescent="0.25">
      <c r="B29" s="554"/>
      <c r="C29" s="554"/>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4"/>
      <c r="AD29" s="554"/>
      <c r="AE29" s="554"/>
      <c r="AF29" s="554"/>
    </row>
    <row r="30" spans="2:32" x14ac:dyDescent="0.25">
      <c r="B30" s="554"/>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c r="AE30" s="554"/>
      <c r="AF30" s="554"/>
    </row>
    <row r="31" spans="2:32" x14ac:dyDescent="0.25">
      <c r="B31" s="554"/>
      <c r="C31" s="554"/>
      <c r="D31" s="554"/>
      <c r="E31" s="554"/>
      <c r="F31" s="554"/>
      <c r="G31" s="554"/>
      <c r="H31" s="554"/>
      <c r="I31" s="554"/>
      <c r="J31" s="554"/>
      <c r="K31" s="554"/>
      <c r="L31" s="554"/>
      <c r="M31" s="554"/>
      <c r="N31" s="554"/>
      <c r="O31" s="554"/>
      <c r="P31" s="554"/>
      <c r="Q31" s="554"/>
      <c r="R31" s="554"/>
      <c r="S31" s="554"/>
      <c r="T31" s="554"/>
      <c r="U31" s="554"/>
      <c r="V31" s="554"/>
      <c r="W31" s="554"/>
      <c r="X31" s="554"/>
      <c r="Y31" s="554"/>
      <c r="Z31" s="554"/>
      <c r="AA31" s="554"/>
      <c r="AB31" s="554"/>
      <c r="AC31" s="554"/>
      <c r="AD31" s="554"/>
      <c r="AE31" s="554"/>
      <c r="AF31" s="554"/>
    </row>
    <row r="32" spans="2:32" x14ac:dyDescent="0.25">
      <c r="B32" s="554"/>
      <c r="C32" s="554"/>
      <c r="D32" s="554"/>
      <c r="E32" s="554"/>
      <c r="F32" s="554"/>
      <c r="G32" s="554"/>
      <c r="H32" s="554"/>
      <c r="I32" s="554"/>
      <c r="J32" s="554"/>
      <c r="K32" s="554"/>
      <c r="L32" s="554"/>
      <c r="M32" s="554"/>
      <c r="N32" s="554"/>
      <c r="O32" s="554"/>
      <c r="P32" s="554"/>
      <c r="Q32" s="554"/>
      <c r="R32" s="554"/>
      <c r="S32" s="554"/>
      <c r="T32" s="554"/>
      <c r="U32" s="554"/>
      <c r="V32" s="554"/>
      <c r="W32" s="554"/>
      <c r="X32" s="554"/>
      <c r="Y32" s="554"/>
      <c r="Z32" s="554"/>
      <c r="AA32" s="554"/>
      <c r="AB32" s="554"/>
      <c r="AC32" s="554"/>
      <c r="AD32" s="554"/>
      <c r="AE32" s="554"/>
      <c r="AF32" s="554"/>
    </row>
    <row r="33" spans="1:32" ht="54" customHeight="1" x14ac:dyDescent="0.25">
      <c r="B33" s="554"/>
      <c r="C33" s="554"/>
      <c r="D33" s="554"/>
      <c r="E33" s="554"/>
      <c r="F33" s="554"/>
      <c r="G33" s="554"/>
      <c r="H33" s="554"/>
      <c r="I33" s="554"/>
      <c r="J33" s="554"/>
      <c r="K33" s="554"/>
      <c r="L33" s="554"/>
      <c r="M33" s="554"/>
      <c r="N33" s="554"/>
      <c r="O33" s="554"/>
      <c r="P33" s="554"/>
      <c r="Q33" s="554"/>
      <c r="R33" s="554"/>
      <c r="S33" s="554"/>
      <c r="T33" s="554"/>
      <c r="U33" s="554"/>
      <c r="V33" s="554"/>
      <c r="W33" s="554"/>
      <c r="X33" s="554"/>
      <c r="Y33" s="554"/>
      <c r="Z33" s="554"/>
      <c r="AA33" s="554"/>
      <c r="AB33" s="554"/>
      <c r="AC33" s="554"/>
      <c r="AD33" s="554"/>
      <c r="AE33" s="554"/>
      <c r="AF33" s="554"/>
    </row>
    <row r="34" spans="1:32" ht="124.9" customHeight="1" x14ac:dyDescent="0.25">
      <c r="B34" s="554"/>
      <c r="C34" s="554"/>
      <c r="D34" s="554"/>
      <c r="E34" s="554"/>
      <c r="F34" s="554"/>
      <c r="G34" s="554"/>
      <c r="H34" s="554"/>
      <c r="I34" s="554"/>
      <c r="J34" s="554"/>
      <c r="K34" s="554"/>
      <c r="L34" s="554"/>
      <c r="M34" s="554"/>
      <c r="N34" s="554"/>
      <c r="O34" s="554"/>
      <c r="P34" s="554"/>
      <c r="Q34" s="554"/>
      <c r="R34" s="554"/>
      <c r="S34" s="554"/>
      <c r="T34" s="554"/>
      <c r="U34" s="554"/>
      <c r="V34" s="554"/>
      <c r="W34" s="554"/>
      <c r="X34" s="554"/>
      <c r="Y34" s="554"/>
      <c r="Z34" s="554"/>
      <c r="AA34" s="554"/>
      <c r="AB34" s="554"/>
      <c r="AC34" s="554"/>
      <c r="AD34" s="554"/>
      <c r="AE34" s="554"/>
      <c r="AF34" s="554"/>
    </row>
    <row r="35" spans="1:32" ht="53.1" customHeight="1" x14ac:dyDescent="0.25">
      <c r="B35" s="554"/>
      <c r="C35" s="554"/>
      <c r="D35" s="554"/>
      <c r="E35" s="554"/>
      <c r="F35" s="554"/>
      <c r="G35" s="554"/>
      <c r="H35" s="554"/>
      <c r="I35" s="554"/>
      <c r="J35" s="554"/>
      <c r="K35" s="554"/>
      <c r="L35" s="554"/>
      <c r="M35" s="554"/>
      <c r="N35" s="554"/>
      <c r="O35" s="554"/>
      <c r="P35" s="554"/>
      <c r="Q35" s="554"/>
      <c r="R35" s="554"/>
      <c r="S35" s="554"/>
      <c r="T35" s="554"/>
      <c r="U35" s="554"/>
      <c r="V35" s="554"/>
      <c r="W35" s="554"/>
      <c r="X35" s="554"/>
      <c r="Y35" s="554"/>
      <c r="Z35" s="554"/>
      <c r="AA35" s="554"/>
      <c r="AB35" s="554"/>
      <c r="AC35" s="554"/>
      <c r="AD35" s="554"/>
      <c r="AE35" s="554"/>
      <c r="AF35" s="554"/>
    </row>
    <row r="36" spans="1:32" ht="53.1" customHeight="1" x14ac:dyDescent="0.25">
      <c r="B36" s="554"/>
      <c r="C36" s="554"/>
      <c r="D36" s="554"/>
      <c r="E36" s="554"/>
      <c r="F36" s="554"/>
      <c r="G36" s="554"/>
      <c r="H36" s="554"/>
      <c r="I36" s="554"/>
      <c r="J36" s="554"/>
      <c r="K36" s="554"/>
      <c r="L36" s="554"/>
      <c r="M36" s="554"/>
      <c r="N36" s="554"/>
      <c r="O36" s="554"/>
      <c r="P36" s="554"/>
      <c r="Q36" s="554"/>
      <c r="R36" s="554"/>
      <c r="S36" s="554"/>
      <c r="T36" s="554"/>
      <c r="U36" s="554"/>
      <c r="V36" s="554"/>
      <c r="W36" s="554"/>
      <c r="X36" s="554"/>
      <c r="Y36" s="554"/>
      <c r="Z36" s="554"/>
      <c r="AA36" s="554"/>
      <c r="AB36" s="554"/>
      <c r="AC36" s="554"/>
      <c r="AD36" s="554"/>
      <c r="AE36" s="554"/>
      <c r="AF36" s="554"/>
    </row>
    <row r="37" spans="1:32" x14ac:dyDescent="0.25">
      <c r="B37" s="554"/>
      <c r="C37" s="554"/>
      <c r="D37" s="554"/>
      <c r="E37" s="554"/>
      <c r="F37" s="554"/>
      <c r="G37" s="554"/>
      <c r="H37" s="554"/>
      <c r="I37" s="554"/>
      <c r="J37" s="554"/>
      <c r="K37" s="554"/>
      <c r="L37" s="554"/>
      <c r="M37" s="554"/>
      <c r="N37" s="554"/>
      <c r="O37" s="554"/>
      <c r="P37" s="554"/>
      <c r="Q37" s="554"/>
      <c r="R37" s="554"/>
      <c r="S37" s="554"/>
      <c r="T37" s="554"/>
      <c r="U37" s="554"/>
      <c r="V37" s="554"/>
      <c r="W37" s="554"/>
      <c r="X37" s="554"/>
      <c r="Y37" s="554"/>
      <c r="Z37" s="554"/>
      <c r="AA37" s="554"/>
      <c r="AB37" s="554"/>
      <c r="AC37" s="554"/>
      <c r="AD37" s="554"/>
      <c r="AE37" s="554"/>
      <c r="AF37" s="554"/>
    </row>
    <row r="38" spans="1:32" x14ac:dyDescent="0.25">
      <c r="B38" s="554"/>
      <c r="C38" s="554"/>
      <c r="D38" s="554"/>
      <c r="E38" s="554"/>
      <c r="F38" s="554"/>
      <c r="G38" s="554"/>
      <c r="H38" s="554"/>
      <c r="I38" s="554"/>
      <c r="J38" s="554"/>
      <c r="K38" s="554"/>
      <c r="L38" s="554"/>
      <c r="M38" s="554"/>
      <c r="N38" s="554"/>
      <c r="O38" s="554"/>
      <c r="P38" s="554"/>
      <c r="Q38" s="554"/>
      <c r="R38" s="554"/>
      <c r="S38" s="554"/>
      <c r="T38" s="554"/>
      <c r="U38" s="554"/>
      <c r="V38" s="554"/>
      <c r="W38" s="554"/>
      <c r="X38" s="554"/>
      <c r="Y38" s="554"/>
      <c r="Z38" s="554"/>
      <c r="AA38" s="554"/>
      <c r="AB38" s="554"/>
      <c r="AC38" s="554"/>
      <c r="AD38" s="554"/>
      <c r="AE38" s="554"/>
      <c r="AF38" s="554"/>
    </row>
    <row r="39" spans="1:32" x14ac:dyDescent="0.25">
      <c r="B39" s="554"/>
      <c r="C39" s="554"/>
      <c r="D39" s="554"/>
      <c r="E39" s="554"/>
      <c r="F39" s="554"/>
      <c r="G39" s="554"/>
      <c r="H39" s="554"/>
      <c r="I39" s="554"/>
      <c r="J39" s="554"/>
      <c r="K39" s="554"/>
      <c r="L39" s="554"/>
      <c r="M39" s="554"/>
      <c r="N39" s="554"/>
      <c r="O39" s="554"/>
      <c r="P39" s="554"/>
      <c r="Q39" s="554"/>
      <c r="R39" s="554"/>
      <c r="S39" s="554"/>
      <c r="T39" s="554"/>
      <c r="U39" s="554"/>
      <c r="V39" s="554"/>
      <c r="W39" s="554"/>
      <c r="X39" s="554"/>
      <c r="Y39" s="554"/>
      <c r="Z39" s="554"/>
      <c r="AA39" s="554"/>
      <c r="AB39" s="554"/>
      <c r="AC39" s="554"/>
      <c r="AD39" s="554"/>
      <c r="AE39" s="554"/>
      <c r="AF39" s="554"/>
    </row>
    <row r="40" spans="1:32" x14ac:dyDescent="0.25">
      <c r="B40" s="554"/>
      <c r="C40" s="554"/>
      <c r="D40" s="554"/>
      <c r="E40" s="554"/>
      <c r="F40" s="554"/>
      <c r="G40" s="554"/>
      <c r="H40" s="554"/>
      <c r="I40" s="554"/>
      <c r="J40" s="554"/>
      <c r="K40" s="554"/>
      <c r="L40" s="554"/>
      <c r="M40" s="554"/>
      <c r="N40" s="554"/>
      <c r="O40" s="554"/>
      <c r="P40" s="554"/>
      <c r="Q40" s="554"/>
      <c r="R40" s="554"/>
      <c r="S40" s="554"/>
      <c r="T40" s="554"/>
      <c r="U40" s="554"/>
      <c r="V40" s="554"/>
      <c r="W40" s="554"/>
      <c r="X40" s="554"/>
      <c r="Y40" s="554"/>
      <c r="Z40" s="554"/>
      <c r="AA40" s="554"/>
      <c r="AB40" s="554"/>
      <c r="AC40" s="554"/>
      <c r="AD40" s="554"/>
      <c r="AE40" s="554"/>
      <c r="AF40" s="554"/>
    </row>
    <row r="42" spans="1:32" x14ac:dyDescent="0.25">
      <c r="A42" s="283"/>
      <c r="B42" s="283"/>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83"/>
      <c r="AE42" s="283"/>
      <c r="AF42" s="283"/>
    </row>
    <row r="43" spans="1:32" x14ac:dyDescent="0.25">
      <c r="A43" s="283"/>
      <c r="B43" s="283"/>
      <c r="C43" s="283"/>
      <c r="D43" s="283"/>
      <c r="E43" s="283"/>
      <c r="F43" s="283"/>
      <c r="G43" s="283"/>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row>
    <row r="44" spans="1:32" x14ac:dyDescent="0.25">
      <c r="A44" s="283"/>
      <c r="B44" s="283"/>
      <c r="C44" s="283"/>
      <c r="D44" s="283"/>
      <c r="E44" s="283"/>
      <c r="F44" s="283"/>
      <c r="G44" s="283"/>
      <c r="H44" s="283"/>
      <c r="I44" s="283"/>
      <c r="J44" s="283"/>
      <c r="K44" s="283"/>
      <c r="L44" s="283"/>
      <c r="M44" s="283"/>
      <c r="N44" s="283"/>
      <c r="O44" s="283"/>
      <c r="P44" s="283"/>
      <c r="Q44" s="283"/>
      <c r="R44" s="283"/>
      <c r="S44" s="283"/>
      <c r="T44" s="283"/>
      <c r="U44" s="283"/>
      <c r="V44" s="283"/>
      <c r="W44" s="283"/>
      <c r="X44" s="283"/>
      <c r="Y44" s="283"/>
      <c r="Z44" s="283"/>
      <c r="AA44" s="283"/>
      <c r="AB44" s="283"/>
      <c r="AC44" s="283"/>
      <c r="AD44" s="283"/>
      <c r="AE44" s="283"/>
      <c r="AF44" s="283"/>
    </row>
    <row r="45" spans="1:32" x14ac:dyDescent="0.25">
      <c r="A45" s="283"/>
      <c r="B45" s="283"/>
      <c r="C45" s="283"/>
      <c r="D45" s="283"/>
      <c r="E45" s="283"/>
      <c r="F45" s="283"/>
      <c r="G45" s="283"/>
      <c r="H45" s="283"/>
      <c r="I45" s="283"/>
      <c r="J45" s="283"/>
      <c r="K45" s="283"/>
      <c r="L45" s="283"/>
      <c r="M45" s="283"/>
      <c r="N45" s="283"/>
      <c r="O45" s="283"/>
      <c r="P45" s="283"/>
      <c r="Q45" s="283"/>
      <c r="R45" s="283"/>
      <c r="S45" s="283"/>
      <c r="T45" s="283"/>
      <c r="U45" s="283"/>
      <c r="V45" s="283"/>
      <c r="W45" s="283"/>
      <c r="X45" s="283"/>
      <c r="Y45" s="283"/>
      <c r="Z45" s="283"/>
      <c r="AA45" s="283"/>
      <c r="AB45" s="283"/>
      <c r="AC45" s="283"/>
      <c r="AD45" s="283"/>
      <c r="AE45" s="283"/>
      <c r="AF45" s="283"/>
    </row>
    <row r="46" spans="1:32" x14ac:dyDescent="0.25">
      <c r="A46" s="283"/>
      <c r="B46" s="283"/>
      <c r="C46" s="283"/>
      <c r="D46" s="283"/>
      <c r="E46" s="283"/>
      <c r="F46" s="283"/>
      <c r="G46" s="283"/>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row>
    <row r="47" spans="1:32" x14ac:dyDescent="0.25">
      <c r="A47" s="283"/>
      <c r="B47" s="283"/>
      <c r="C47" s="283"/>
      <c r="D47" s="283"/>
      <c r="E47" s="283"/>
      <c r="F47" s="283"/>
      <c r="G47" s="283"/>
      <c r="H47" s="283"/>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c r="AF47" s="283"/>
    </row>
    <row r="48" spans="1:32" x14ac:dyDescent="0.25">
      <c r="A48" s="283"/>
      <c r="B48" s="283"/>
      <c r="C48" s="283"/>
      <c r="D48" s="283"/>
      <c r="E48" s="283"/>
      <c r="F48" s="283"/>
      <c r="G48" s="283"/>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row>
    <row r="49" spans="2:32" ht="41.1" customHeight="1" x14ac:dyDescent="0.25">
      <c r="B49" s="283"/>
      <c r="C49" s="537" t="s">
        <v>0</v>
      </c>
      <c r="D49" s="537"/>
      <c r="E49" s="538"/>
      <c r="F49" s="555" t="s">
        <v>1070</v>
      </c>
      <c r="G49" s="555"/>
      <c r="H49" s="555"/>
      <c r="I49" s="555"/>
      <c r="J49" s="555"/>
      <c r="K49" s="555"/>
      <c r="L49" s="555"/>
      <c r="M49" s="555"/>
      <c r="N49" s="555"/>
      <c r="O49" s="555"/>
      <c r="P49" s="555"/>
      <c r="Q49" s="283"/>
      <c r="R49" s="283"/>
      <c r="S49" s="283"/>
      <c r="T49" s="283"/>
      <c r="U49" s="283"/>
      <c r="V49" s="283"/>
      <c r="W49" s="283"/>
      <c r="X49" s="283"/>
      <c r="Y49" s="283"/>
      <c r="Z49" s="283"/>
      <c r="AA49" s="283"/>
      <c r="AB49" s="283"/>
      <c r="AC49" s="283"/>
      <c r="AD49" s="283"/>
      <c r="AE49" s="283"/>
      <c r="AF49" s="283"/>
    </row>
    <row r="50" spans="2:32" ht="18" x14ac:dyDescent="0.25">
      <c r="B50" s="283"/>
      <c r="C50" s="50"/>
      <c r="D50" s="51"/>
      <c r="E50" s="51"/>
      <c r="F50" s="52"/>
      <c r="G50" s="52"/>
      <c r="H50" s="52"/>
      <c r="I50" s="52"/>
      <c r="J50" s="52"/>
      <c r="K50" s="52"/>
      <c r="L50" s="52"/>
      <c r="M50" s="52"/>
      <c r="N50" s="52"/>
      <c r="O50" s="52"/>
      <c r="P50" s="52"/>
      <c r="Q50" s="283"/>
      <c r="R50" s="283"/>
      <c r="S50" s="283"/>
      <c r="T50" s="283"/>
      <c r="U50" s="283"/>
      <c r="V50" s="283"/>
      <c r="W50" s="283"/>
      <c r="X50" s="283"/>
      <c r="Y50" s="283"/>
      <c r="Z50" s="283"/>
      <c r="AA50" s="283"/>
      <c r="AB50" s="283"/>
      <c r="AC50" s="283"/>
      <c r="AD50" s="283"/>
      <c r="AE50" s="534" t="s">
        <v>2</v>
      </c>
      <c r="AF50" s="534"/>
    </row>
    <row r="51" spans="2:32" ht="43.35" customHeight="1" x14ac:dyDescent="0.25">
      <c r="B51" s="283"/>
      <c r="C51" s="537" t="s">
        <v>3</v>
      </c>
      <c r="D51" s="537"/>
      <c r="E51" s="538"/>
      <c r="F51" s="555" t="s">
        <v>429</v>
      </c>
      <c r="G51" s="555"/>
      <c r="H51" s="555"/>
      <c r="I51" s="555"/>
      <c r="J51" s="555"/>
      <c r="K51" s="555"/>
      <c r="L51" s="555"/>
      <c r="M51" s="555"/>
      <c r="N51" s="555"/>
      <c r="O51" s="555"/>
      <c r="P51" s="555"/>
      <c r="Q51" s="283"/>
      <c r="R51" s="283"/>
      <c r="S51" s="283"/>
      <c r="T51" s="283"/>
      <c r="U51" s="283"/>
      <c r="V51" s="283"/>
      <c r="W51" s="283"/>
      <c r="X51" s="283"/>
      <c r="Y51" s="283"/>
      <c r="Z51" s="283"/>
      <c r="AA51" s="283"/>
      <c r="AB51" s="283"/>
      <c r="AC51" s="283"/>
      <c r="AD51" s="283"/>
      <c r="AE51" s="534"/>
      <c r="AF51" s="534"/>
    </row>
    <row r="52" spans="2:32" ht="18" x14ac:dyDescent="0.25">
      <c r="B52" s="283"/>
      <c r="C52" s="50"/>
      <c r="D52" s="51"/>
      <c r="E52" s="51"/>
      <c r="F52" s="52"/>
      <c r="G52" s="52"/>
      <c r="H52" s="52"/>
      <c r="I52" s="52"/>
      <c r="J52" s="52"/>
      <c r="K52" s="52"/>
      <c r="L52" s="52"/>
      <c r="M52" s="52"/>
      <c r="N52" s="52"/>
      <c r="O52" s="52"/>
      <c r="P52" s="52"/>
      <c r="Q52" s="283"/>
      <c r="R52" s="283"/>
      <c r="S52" s="283"/>
      <c r="T52" s="283"/>
      <c r="U52" s="283"/>
      <c r="V52" s="283"/>
      <c r="W52" s="283"/>
      <c r="X52" s="283"/>
      <c r="Y52" s="283"/>
      <c r="Z52" s="283"/>
      <c r="AA52" s="283"/>
      <c r="AB52" s="283"/>
      <c r="AC52" s="283"/>
      <c r="AD52" s="283"/>
      <c r="AE52" s="534"/>
      <c r="AF52" s="534"/>
    </row>
    <row r="53" spans="2:32" ht="36" customHeight="1" x14ac:dyDescent="0.25">
      <c r="B53" s="283"/>
      <c r="C53" s="537" t="s">
        <v>5</v>
      </c>
      <c r="D53" s="537"/>
      <c r="E53" s="538"/>
      <c r="F53" s="539" t="str">
        <f>VLOOKUP(F51,DATOS!F:J,5,FALSE)</f>
        <v>GESTIÓN DE TIC</v>
      </c>
      <c r="G53" s="539"/>
      <c r="H53" s="539"/>
      <c r="I53" s="539"/>
      <c r="J53" s="539"/>
      <c r="K53" s="539"/>
      <c r="L53" s="539"/>
      <c r="M53" s="539"/>
      <c r="N53" s="539"/>
      <c r="O53" s="539"/>
      <c r="P53" s="539"/>
      <c r="Q53" s="283"/>
      <c r="R53" s="283"/>
      <c r="S53" s="283"/>
      <c r="T53" s="283"/>
      <c r="U53" s="283"/>
      <c r="V53" s="283"/>
      <c r="W53" s="283"/>
      <c r="X53" s="283"/>
      <c r="Y53" s="283"/>
      <c r="Z53" s="283"/>
      <c r="AA53" s="283"/>
      <c r="AB53" s="283"/>
      <c r="AC53" s="283"/>
      <c r="AD53" s="283"/>
      <c r="AE53" s="283"/>
      <c r="AF53" s="283"/>
    </row>
    <row r="54" spans="2:32" ht="18" x14ac:dyDescent="0.25">
      <c r="B54" s="283"/>
      <c r="C54" s="540"/>
      <c r="D54" s="540"/>
      <c r="E54" s="541"/>
      <c r="F54" s="542"/>
      <c r="G54" s="543"/>
      <c r="H54" s="543"/>
      <c r="I54" s="543"/>
      <c r="J54" s="543"/>
      <c r="K54" s="543"/>
      <c r="L54" s="543"/>
      <c r="M54" s="543"/>
      <c r="N54" s="543"/>
      <c r="O54" s="543"/>
      <c r="P54" s="544"/>
      <c r="Q54" s="283"/>
      <c r="R54" s="283"/>
      <c r="S54" s="283"/>
      <c r="T54" s="283"/>
      <c r="U54" s="283"/>
      <c r="V54" s="283"/>
      <c r="W54" s="283"/>
      <c r="X54" s="283"/>
      <c r="Y54" s="283"/>
      <c r="Z54" s="283"/>
      <c r="AA54" s="283"/>
      <c r="AB54" s="283"/>
      <c r="AC54" s="283"/>
      <c r="AD54" s="283"/>
      <c r="AE54" s="534" t="s">
        <v>6</v>
      </c>
      <c r="AF54" s="534"/>
    </row>
    <row r="55" spans="2:32" ht="30" customHeight="1" x14ac:dyDescent="0.25">
      <c r="B55" s="283"/>
      <c r="C55" s="537" t="s">
        <v>7</v>
      </c>
      <c r="D55" s="537"/>
      <c r="E55" s="538"/>
      <c r="F55" s="545" t="str">
        <f>VLOOKUP(F51,DATOS!F:J,4,FALSE)</f>
        <v xml:space="preserve">MODERNIZACIÓN DE SISTEMAS DE INFORMACIÓN. </v>
      </c>
      <c r="G55" s="546"/>
      <c r="H55" s="546"/>
      <c r="I55" s="546"/>
      <c r="J55" s="546"/>
      <c r="K55" s="546"/>
      <c r="L55" s="546"/>
      <c r="M55" s="547"/>
      <c r="N55" s="53" t="s">
        <v>8</v>
      </c>
      <c r="O55" s="548" t="str">
        <f>VLOOKUP(F51,DATOS!F:K,6,FALSE)</f>
        <v>ACTIVO</v>
      </c>
      <c r="P55" s="549"/>
      <c r="Q55" s="283"/>
      <c r="R55" s="283"/>
      <c r="S55" s="283"/>
      <c r="T55" s="283"/>
      <c r="U55" s="283"/>
      <c r="V55" s="283"/>
      <c r="W55" s="283"/>
      <c r="X55" s="283"/>
      <c r="Y55" s="283"/>
      <c r="Z55" s="283"/>
      <c r="AA55" s="283"/>
      <c r="AB55" s="283"/>
      <c r="AC55" s="283"/>
      <c r="AD55" s="283"/>
      <c r="AE55" s="534"/>
      <c r="AF55" s="534"/>
    </row>
    <row r="56" spans="2:32" ht="18" x14ac:dyDescent="0.25">
      <c r="B56" s="283"/>
      <c r="C56" s="550"/>
      <c r="D56" s="550"/>
      <c r="E56" s="550"/>
      <c r="F56" s="550"/>
      <c r="G56" s="550"/>
      <c r="H56" s="550"/>
      <c r="I56" s="550"/>
      <c r="J56" s="550"/>
      <c r="K56" s="550"/>
      <c r="L56" s="550"/>
      <c r="M56" s="550"/>
      <c r="N56" s="550"/>
      <c r="O56" s="550"/>
      <c r="P56" s="550"/>
      <c r="Q56" s="283"/>
      <c r="R56" s="283"/>
      <c r="S56" s="283"/>
      <c r="T56" s="283"/>
      <c r="U56" s="283"/>
      <c r="V56" s="283"/>
      <c r="W56" s="283"/>
      <c r="X56" s="283"/>
      <c r="Y56" s="283"/>
      <c r="Z56" s="283"/>
      <c r="AA56" s="283"/>
      <c r="AB56" s="283"/>
      <c r="AC56" s="283"/>
      <c r="AD56" s="283"/>
      <c r="AE56" s="534"/>
      <c r="AF56" s="534"/>
    </row>
    <row r="57" spans="2:32" ht="36" customHeight="1" x14ac:dyDescent="0.25">
      <c r="B57" s="283"/>
      <c r="C57" s="537" t="s">
        <v>9</v>
      </c>
      <c r="D57" s="537"/>
      <c r="E57" s="538"/>
      <c r="F57" s="54" t="str">
        <f>VLOOKUP(F51,DATOS!F:O,7,FALSE)</f>
        <v>PROYECTO DE INVERSIÓN</v>
      </c>
      <c r="G57" s="55"/>
      <c r="H57" s="55"/>
      <c r="I57" s="55" t="str">
        <f>VLOOKUP(F51,DATOS!F:O,8,FALSE)</f>
        <v>PROCESOS</v>
      </c>
      <c r="J57" s="54"/>
      <c r="K57" s="55"/>
      <c r="L57" s="55"/>
      <c r="M57" s="55">
        <f>VLOOKUP(F51,DATOS!F:O,9,FALSE)</f>
        <v>0</v>
      </c>
      <c r="N57" s="54"/>
      <c r="O57" s="55">
        <f>VLOOKUP(F51,DATOS!F:O,10,FALSE)</f>
        <v>0</v>
      </c>
      <c r="P57" s="56"/>
      <c r="Q57" s="283"/>
      <c r="R57" s="283"/>
      <c r="S57" s="283"/>
      <c r="T57" s="283"/>
      <c r="U57" s="283"/>
      <c r="V57" s="283"/>
      <c r="W57" s="283"/>
      <c r="X57" s="283"/>
      <c r="Y57" s="283"/>
      <c r="Z57" s="283"/>
      <c r="AA57" s="283"/>
      <c r="AB57" s="283"/>
      <c r="AC57" s="283"/>
      <c r="AD57" s="283"/>
      <c r="AE57" s="283"/>
      <c r="AF57" s="283"/>
    </row>
    <row r="58" spans="2:32" ht="18.75" thickBot="1" x14ac:dyDescent="0.3">
      <c r="B58" s="283"/>
      <c r="C58" s="57"/>
      <c r="D58" s="57"/>
      <c r="E58" s="57"/>
      <c r="F58" s="57"/>
      <c r="G58" s="57"/>
      <c r="H58" s="57"/>
      <c r="I58" s="57"/>
      <c r="J58" s="57"/>
      <c r="K58" s="57"/>
      <c r="L58" s="57"/>
      <c r="M58" s="57"/>
      <c r="N58" s="57"/>
      <c r="O58" s="57"/>
      <c r="P58" s="57"/>
      <c r="Q58" s="283"/>
      <c r="R58" s="283"/>
      <c r="S58" s="283"/>
      <c r="T58" s="283"/>
      <c r="U58" s="283"/>
      <c r="V58" s="283"/>
      <c r="W58" s="283"/>
      <c r="X58" s="283"/>
      <c r="Y58" s="283"/>
      <c r="Z58" s="283"/>
      <c r="AA58" s="283"/>
      <c r="AB58" s="283"/>
      <c r="AC58" s="283"/>
      <c r="AD58" s="283"/>
      <c r="AE58" s="535" t="s">
        <v>10</v>
      </c>
      <c r="AF58" s="536"/>
    </row>
    <row r="59" spans="2:32" ht="53.45" customHeight="1" x14ac:dyDescent="0.25">
      <c r="B59" s="283"/>
      <c r="C59" s="551" t="s">
        <v>11</v>
      </c>
      <c r="D59" s="552"/>
      <c r="E59" s="553" t="s">
        <v>12</v>
      </c>
      <c r="F59" s="552"/>
      <c r="G59" s="553" t="s">
        <v>13</v>
      </c>
      <c r="H59" s="556"/>
      <c r="I59" s="556"/>
      <c r="J59" s="552"/>
      <c r="K59" s="553" t="s">
        <v>14</v>
      </c>
      <c r="L59" s="556"/>
      <c r="M59" s="552"/>
      <c r="N59" s="553" t="s">
        <v>15</v>
      </c>
      <c r="O59" s="556"/>
      <c r="P59" s="557"/>
      <c r="Q59" s="283"/>
      <c r="R59" s="283"/>
      <c r="S59" s="283"/>
      <c r="T59" s="283"/>
      <c r="U59" s="283"/>
      <c r="V59" s="283"/>
      <c r="W59" s="283"/>
      <c r="X59" s="283"/>
      <c r="Y59" s="283"/>
      <c r="Z59" s="283"/>
      <c r="AA59" s="283"/>
      <c r="AB59" s="283"/>
      <c r="AC59" s="283"/>
      <c r="AD59" s="283"/>
      <c r="AE59" s="536"/>
      <c r="AF59" s="536"/>
    </row>
    <row r="60" spans="2:32" ht="150" customHeight="1" x14ac:dyDescent="0.25">
      <c r="B60" s="283"/>
      <c r="C60" s="560" t="str">
        <f>VLOOKUP(F51,DATOS!F:AQ,11,FALSE)</f>
        <v>(Número de actividades desarrollas)/(Número de actividades planificadas)*100</v>
      </c>
      <c r="D60" s="561" t="e">
        <f>VLOOKUP($G$5,[1]matriz!$E$3:$BX$41,2,0)</f>
        <v>#N/A</v>
      </c>
      <c r="E60" s="562" t="str">
        <f>VLOOKUP(F51,DATOS!F:AQ,12,FALSE)</f>
        <v>Actividades</v>
      </c>
      <c r="F60" s="562" t="e">
        <f>VLOOKUP($G$5,[1]matriz!$E$3:$BX$41,2,0)</f>
        <v>#N/A</v>
      </c>
      <c r="G60" s="563" t="str">
        <f>VLOOKUP(F51,DATOS!F:AQ,13,FALSE)</f>
        <v>Número de actividades desarrolladas</v>
      </c>
      <c r="H60" s="563" t="e">
        <f>VLOOKUP($G$5,[1]matriz!$E$3:$BX$41,2,0)</f>
        <v>#N/A</v>
      </c>
      <c r="I60" s="563" t="e">
        <f>VLOOKUP($G$5,[1]matriz!$E$3:$BX$41,10,0)</f>
        <v>#N/A</v>
      </c>
      <c r="J60" s="563" t="e">
        <f>VLOOKUP($G$5,[1]matriz!$E$3:$BX$41,2,0)</f>
        <v>#N/A</v>
      </c>
      <c r="K60" s="563" t="str">
        <f>VLOOKUP(F51,DATOS!F:AQ,15,FALSE)</f>
        <v>Actividades desarrolladas para implementar la Política de Seguridad y Privacidad de la Información</v>
      </c>
      <c r="L60" s="563" t="e">
        <f>VLOOKUP($G$5,[1]matriz!$E$3:$BX$41,2,0)</f>
        <v>#N/A</v>
      </c>
      <c r="M60" s="563" t="e">
        <f>VLOOKUP($G$5,[1]matriz!$E$3:$BX$41,2,0)</f>
        <v>#N/A</v>
      </c>
      <c r="N60" s="563" t="str">
        <f>VLOOKUP(F51,DATOS!F:AQ,17,FALSE)</f>
        <v>Informes de avance 
Plan de trabajo
Informes de supervisión</v>
      </c>
      <c r="O60" s="563" t="e">
        <f>VLOOKUP($G$5,[1]matriz!$E$3:$BX$41,2,0)</f>
        <v>#N/A</v>
      </c>
      <c r="P60" s="564" t="e">
        <f>VLOOKUP($G$5,[1]matriz!$E$3:$BX$41,2,0)</f>
        <v>#N/A</v>
      </c>
      <c r="Q60" s="283"/>
      <c r="R60" s="283"/>
      <c r="S60" s="283"/>
      <c r="T60" s="283"/>
      <c r="U60" s="283"/>
      <c r="V60" s="283"/>
      <c r="W60" s="283"/>
      <c r="X60" s="283"/>
      <c r="Y60" s="283"/>
      <c r="Z60" s="283"/>
      <c r="AA60" s="283"/>
      <c r="AB60" s="283"/>
      <c r="AC60" s="283"/>
      <c r="AD60" s="283"/>
      <c r="AE60" s="535" t="s">
        <v>16</v>
      </c>
      <c r="AF60" s="535"/>
    </row>
    <row r="61" spans="2:32" ht="139.35" customHeight="1" x14ac:dyDescent="0.25">
      <c r="B61" s="283"/>
      <c r="C61" s="560" t="e">
        <f>VLOOKUP($G$5,[1]matriz!$E$3:$BX$41,2,0)</f>
        <v>#N/A</v>
      </c>
      <c r="D61" s="561" t="e">
        <f>VLOOKUP($G$5,[1]matriz!$E$3:$BX$41,2,0)</f>
        <v>#N/A</v>
      </c>
      <c r="E61" s="562" t="e">
        <f>VLOOKUP($G$5,[1]matriz!$E$3:$BX$41,2,0)</f>
        <v>#N/A</v>
      </c>
      <c r="F61" s="562" t="e">
        <f>VLOOKUP($G$5,[1]matriz!$E$3:$BX$41,2,0)</f>
        <v>#N/A</v>
      </c>
      <c r="G61" s="563" t="str">
        <f>VLOOKUP(F51,DATOS!F:AQ,14,FALSE)</f>
        <v>Número de actividades planificadas</v>
      </c>
      <c r="H61" s="563" t="e">
        <f>VLOOKUP($G$5,[1]matriz!$E$3:$BX$41,2,0)</f>
        <v>#N/A</v>
      </c>
      <c r="I61" s="563" t="e">
        <f>VLOOKUP($G$5,[1]matriz!$E$3:$BX$41,2,0)</f>
        <v>#N/A</v>
      </c>
      <c r="J61" s="563" t="e">
        <f>VLOOKUP($G$5,[1]matriz!$E$3:$BX$41,2,0)</f>
        <v>#N/A</v>
      </c>
      <c r="K61" s="565" t="str">
        <f>VLOOKUP(F51,DATOS!F:AQ,16,FALSE)</f>
        <v>Actividades programadas en el plan de trabajo para la implementación de la Política de Seguridad y Privacidad de la Información</v>
      </c>
      <c r="L61" s="565" t="e">
        <f>VLOOKUP($G$5,[1]matriz!$E$3:$BX$41,2,0)</f>
        <v>#N/A</v>
      </c>
      <c r="M61" s="565" t="e">
        <f>VLOOKUP($G$5,[1]matriz!$E$3:$BX$41,2,0)</f>
        <v>#N/A</v>
      </c>
      <c r="N61" s="563" t="str">
        <f>VLOOKUP(F51,DATOS!F:AQ,18,FALSE)</f>
        <v>Plan de trabajo</v>
      </c>
      <c r="O61" s="563" t="e">
        <f>VLOOKUP($G$5,[1]matriz!$E$3:$BX$41,2,0)</f>
        <v>#N/A</v>
      </c>
      <c r="P61" s="564" t="e">
        <f>VLOOKUP($G$5,[1]matriz!$E$3:$BX$41,2,0)</f>
        <v>#N/A</v>
      </c>
      <c r="Q61" s="283"/>
      <c r="R61" s="283"/>
      <c r="S61" s="283"/>
      <c r="T61" s="283"/>
      <c r="U61" s="283"/>
      <c r="V61" s="283"/>
      <c r="W61" s="283"/>
      <c r="X61" s="283"/>
      <c r="Y61" s="283"/>
      <c r="Z61" s="283"/>
      <c r="AA61" s="283"/>
      <c r="AB61" s="283"/>
      <c r="AC61" s="283"/>
      <c r="AD61" s="283"/>
      <c r="AE61" s="283"/>
      <c r="AF61" s="283"/>
    </row>
    <row r="62" spans="2:32" x14ac:dyDescent="0.25">
      <c r="B62" s="283"/>
      <c r="C62" s="283"/>
      <c r="D62" s="283"/>
      <c r="E62" s="283"/>
      <c r="F62" s="283"/>
      <c r="G62" s="283"/>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row>
    <row r="63" spans="2:32" ht="15.75" thickBot="1" x14ac:dyDescent="0.3">
      <c r="B63" s="283"/>
      <c r="C63" s="283"/>
      <c r="D63" s="283"/>
      <c r="E63" s="49"/>
      <c r="F63" s="49"/>
      <c r="G63" s="49"/>
      <c r="H63" s="49"/>
      <c r="I63" s="49"/>
      <c r="J63" s="49"/>
      <c r="K63" s="49"/>
      <c r="L63" s="49"/>
      <c r="M63" s="283"/>
      <c r="N63" s="49"/>
      <c r="O63" s="49"/>
      <c r="P63" s="49"/>
      <c r="Q63" s="283"/>
      <c r="R63" s="283"/>
      <c r="S63" s="283"/>
      <c r="T63" s="283"/>
      <c r="U63" s="283"/>
      <c r="V63" s="283"/>
      <c r="W63" s="283"/>
      <c r="X63" s="283"/>
      <c r="Y63" s="283"/>
      <c r="Z63" s="283"/>
      <c r="AA63" s="283"/>
      <c r="AB63" s="283"/>
      <c r="AC63" s="283"/>
      <c r="AD63" s="283"/>
      <c r="AE63" s="283"/>
      <c r="AF63" s="283"/>
    </row>
    <row r="64" spans="2:32" ht="19.5" thickBot="1" x14ac:dyDescent="0.3">
      <c r="B64" s="283"/>
      <c r="C64" s="283"/>
      <c r="D64" s="283"/>
      <c r="E64" s="58"/>
      <c r="F64" s="58"/>
      <c r="G64" s="146" t="s">
        <v>17</v>
      </c>
      <c r="H64" s="60" t="s">
        <v>18</v>
      </c>
      <c r="I64" s="61"/>
      <c r="J64" s="62"/>
      <c r="K64" s="59" t="s">
        <v>19</v>
      </c>
      <c r="L64" s="60" t="s">
        <v>20</v>
      </c>
      <c r="M64" s="283"/>
      <c r="N64" s="49"/>
      <c r="O64" s="49"/>
      <c r="P64" s="49"/>
      <c r="Q64" s="283"/>
      <c r="R64" s="283"/>
      <c r="S64" s="283"/>
      <c r="T64" s="283"/>
      <c r="U64" s="283"/>
      <c r="V64" s="283"/>
      <c r="W64" s="283"/>
      <c r="X64" s="283"/>
      <c r="Y64" s="283"/>
      <c r="Z64" s="283"/>
      <c r="AA64" s="283"/>
      <c r="AB64" s="283"/>
      <c r="AC64" s="283"/>
      <c r="AD64" s="283"/>
      <c r="AE64" s="283"/>
      <c r="AF64" s="283"/>
    </row>
    <row r="65" spans="1:32" ht="23.25" thickBot="1" x14ac:dyDescent="0.3">
      <c r="B65" s="283"/>
      <c r="C65" s="283"/>
      <c r="D65" s="283"/>
      <c r="E65" s="58"/>
      <c r="F65" s="568">
        <v>2020</v>
      </c>
      <c r="G65" s="569">
        <f>VLOOKUP(F$51,DATOS!F:AQ,27,FALSE)</f>
        <v>0</v>
      </c>
      <c r="H65" s="566">
        <f>VLOOKUP(F$51,DATOS!F:AQ,33,FALSE)</f>
        <v>0</v>
      </c>
      <c r="I65" s="61"/>
      <c r="J65" s="63" t="s">
        <v>21</v>
      </c>
      <c r="K65" s="64">
        <f>VLOOKUP($F$51,DATOS!F:CO,44,FALSE)</f>
        <v>1</v>
      </c>
      <c r="L65" s="490">
        <f>VLOOKUP($F$51,DATOS!F:CO,56,FALSE)</f>
        <v>1</v>
      </c>
      <c r="M65" s="283"/>
      <c r="N65" s="558"/>
      <c r="O65" s="558"/>
      <c r="P65" s="558"/>
      <c r="Q65" s="283"/>
      <c r="R65" s="283"/>
      <c r="S65" s="283"/>
      <c r="T65" s="283"/>
      <c r="U65" s="283"/>
      <c r="V65" s="283"/>
      <c r="W65" s="283"/>
      <c r="X65" s="283"/>
      <c r="Y65" s="283"/>
      <c r="Z65" s="283"/>
      <c r="AA65" s="284" t="s">
        <v>31</v>
      </c>
      <c r="AB65" s="283"/>
      <c r="AC65" s="283"/>
      <c r="AD65" s="283"/>
      <c r="AE65" s="283"/>
      <c r="AF65" s="283"/>
    </row>
    <row r="66" spans="1:32" ht="24" thickBot="1" x14ac:dyDescent="0.3">
      <c r="B66" s="283"/>
      <c r="C66" s="283"/>
      <c r="D66" s="283"/>
      <c r="E66" s="58"/>
      <c r="F66" s="568"/>
      <c r="G66" s="570"/>
      <c r="H66" s="567"/>
      <c r="I66" s="61"/>
      <c r="J66" s="63" t="s">
        <v>23</v>
      </c>
      <c r="K66" s="64">
        <f>VLOOKUP($F$51,DATOS!F:CO,45,FALSE)</f>
        <v>1</v>
      </c>
      <c r="L66" s="490">
        <f>VLOOKUP(F$51,DATOS!F:CO,57,FALSE)</f>
        <v>1</v>
      </c>
      <c r="M66" s="283"/>
      <c r="N66" s="559" t="str">
        <f>VLOOKUP(F51,DATOS!F:CO,21,FALSE)</f>
        <v>CONSTANTE</v>
      </c>
      <c r="O66" s="559"/>
      <c r="P66" s="559"/>
      <c r="Q66" s="283"/>
      <c r="R66" s="283"/>
      <c r="S66" s="283"/>
      <c r="T66" s="283"/>
      <c r="U66" s="283"/>
      <c r="V66" s="283"/>
      <c r="W66" s="283"/>
      <c r="X66" s="283"/>
      <c r="Y66" s="283"/>
      <c r="Z66" s="283"/>
      <c r="AA66" s="283"/>
      <c r="AB66" s="283"/>
      <c r="AC66" s="283"/>
      <c r="AD66" s="283"/>
      <c r="AE66" s="283"/>
      <c r="AF66" s="283"/>
    </row>
    <row r="67" spans="1:32" ht="15" customHeight="1" thickBot="1" x14ac:dyDescent="0.3">
      <c r="B67" s="283"/>
      <c r="C67" s="283"/>
      <c r="D67" s="283"/>
      <c r="E67" s="58"/>
      <c r="F67" s="568">
        <v>2021</v>
      </c>
      <c r="G67" s="569">
        <f>VLOOKUP(F$51,DATOS!F:AQ,28,FALSE)</f>
        <v>100</v>
      </c>
      <c r="H67" s="566">
        <f>VLOOKUP(F$51,DATOS!F:AQ,34,FALSE)</f>
        <v>100</v>
      </c>
      <c r="I67" s="61"/>
      <c r="J67" s="63" t="s">
        <v>24</v>
      </c>
      <c r="K67" s="64">
        <f>VLOOKUP($F$51,DATOS!F:CO,46,FALSE)</f>
        <v>1</v>
      </c>
      <c r="L67" s="490">
        <f>VLOOKUP(F$51,DATOS!F:CO,58,FALSE)</f>
        <v>1</v>
      </c>
      <c r="M67" s="283"/>
      <c r="N67" s="49"/>
      <c r="O67" s="49"/>
      <c r="P67" s="49"/>
      <c r="Q67" s="283"/>
      <c r="R67" s="283"/>
      <c r="S67" s="283"/>
      <c r="T67" s="283"/>
      <c r="U67" s="283"/>
      <c r="V67" s="283"/>
      <c r="W67" s="283"/>
      <c r="X67" s="283"/>
      <c r="Y67" s="283"/>
      <c r="Z67" s="283"/>
      <c r="AA67" s="283"/>
      <c r="AB67" s="283"/>
      <c r="AC67" s="283"/>
      <c r="AD67" s="283"/>
      <c r="AE67" s="283"/>
      <c r="AF67" s="283"/>
    </row>
    <row r="68" spans="1:32" ht="15" customHeight="1" thickBot="1" x14ac:dyDescent="0.3">
      <c r="B68" s="283"/>
      <c r="C68" s="283"/>
      <c r="D68" s="283"/>
      <c r="E68" s="58"/>
      <c r="F68" s="568"/>
      <c r="G68" s="570"/>
      <c r="H68" s="567"/>
      <c r="I68" s="61"/>
      <c r="J68" s="63" t="s">
        <v>25</v>
      </c>
      <c r="K68" s="64">
        <f>VLOOKUP($F$51,DATOS!F:CO,47,FALSE)</f>
        <v>1</v>
      </c>
      <c r="L68" s="490">
        <f>VLOOKUP(F$51,DATOS!F:CO,59,FALSE)</f>
        <v>1</v>
      </c>
      <c r="M68" s="283"/>
      <c r="N68" s="49"/>
      <c r="O68" s="49"/>
      <c r="P68" s="49"/>
      <c r="Q68" s="283"/>
      <c r="R68" s="283"/>
      <c r="S68" s="283"/>
      <c r="T68" s="283"/>
      <c r="U68" s="283"/>
      <c r="V68" s="283"/>
      <c r="W68" s="283"/>
      <c r="X68" s="283"/>
      <c r="Y68" s="283"/>
      <c r="Z68" s="283"/>
      <c r="AA68" s="283"/>
      <c r="AB68" s="283"/>
      <c r="AC68" s="283"/>
      <c r="AD68" s="283"/>
      <c r="AE68" s="283"/>
      <c r="AF68" s="283"/>
    </row>
    <row r="69" spans="1:32" ht="33" customHeight="1" thickBot="1" x14ac:dyDescent="0.35">
      <c r="B69" s="283"/>
      <c r="C69" s="283"/>
      <c r="D69" s="283"/>
      <c r="E69" s="58"/>
      <c r="F69" s="568">
        <v>2022</v>
      </c>
      <c r="G69" s="569">
        <f>VLOOKUP(F$51,DATOS!F:AQ,29,FALSE)</f>
        <v>100</v>
      </c>
      <c r="H69" s="566">
        <f>VLOOKUP(F$51,DATOS!F:AQ,35,FALSE)</f>
        <v>100</v>
      </c>
      <c r="I69" s="61"/>
      <c r="J69" s="63" t="s">
        <v>26</v>
      </c>
      <c r="K69" s="64">
        <f>VLOOKUP($F$51,DATOS!F:CO,48,FALSE)</f>
        <v>1</v>
      </c>
      <c r="L69" s="490">
        <f>VLOOKUP(F$51,DATOS!F:CO,60,FALSE)</f>
        <v>1</v>
      </c>
      <c r="M69" s="283"/>
      <c r="N69" s="49"/>
      <c r="O69" s="49"/>
      <c r="P69" s="49"/>
      <c r="Q69" s="283"/>
      <c r="R69" s="283"/>
      <c r="S69" s="283"/>
      <c r="T69" s="283"/>
      <c r="U69" s="283"/>
      <c r="V69" s="283"/>
      <c r="W69" s="283"/>
      <c r="X69" s="283"/>
      <c r="Y69" s="142" t="s">
        <v>5</v>
      </c>
      <c r="Z69" s="6"/>
      <c r="AA69" s="142"/>
      <c r="AB69" s="7" t="s">
        <v>27</v>
      </c>
      <c r="AC69" s="142"/>
      <c r="AD69" s="7" t="s">
        <v>28</v>
      </c>
      <c r="AE69" s="2"/>
      <c r="AF69" s="283"/>
    </row>
    <row r="70" spans="1:32" ht="24" thickBot="1" x14ac:dyDescent="0.35">
      <c r="B70" s="283"/>
      <c r="C70" s="283"/>
      <c r="D70" s="283"/>
      <c r="E70" s="58"/>
      <c r="F70" s="568"/>
      <c r="G70" s="570"/>
      <c r="H70" s="567"/>
      <c r="I70" s="61"/>
      <c r="J70" s="63" t="s">
        <v>29</v>
      </c>
      <c r="K70" s="64">
        <f>VLOOKUP($F$51,DATOS!F:CO,49,FALSE)</f>
        <v>1</v>
      </c>
      <c r="L70" s="490">
        <f>VLOOKUP(F$51,DATOS!F:CO,61,FALSE)</f>
        <v>1</v>
      </c>
      <c r="M70" s="283"/>
      <c r="N70" s="559" t="str">
        <f>VLOOKUP(F51,DATOS!F:CO,22,FALSE)</f>
        <v>MENSUAL</v>
      </c>
      <c r="O70" s="559"/>
      <c r="P70" s="559"/>
      <c r="Q70" s="283"/>
      <c r="R70" s="283"/>
      <c r="S70" s="283"/>
      <c r="T70" s="283"/>
      <c r="U70" s="283"/>
      <c r="V70" s="283"/>
      <c r="W70" s="283"/>
      <c r="X70" s="283"/>
      <c r="Y70" s="3"/>
      <c r="Z70" s="4"/>
      <c r="AA70" s="4"/>
      <c r="AB70" s="5"/>
      <c r="AC70" s="4"/>
      <c r="AD70" s="5"/>
      <c r="AE70" s="2"/>
      <c r="AF70" s="283"/>
    </row>
    <row r="71" spans="1:32" ht="15" customHeight="1" thickBot="1" x14ac:dyDescent="0.35">
      <c r="B71" s="283"/>
      <c r="C71" s="283"/>
      <c r="D71" s="283"/>
      <c r="E71" s="58"/>
      <c r="F71" s="568">
        <v>2023</v>
      </c>
      <c r="G71" s="569">
        <f>VLOOKUP(F$51,DATOS!F:AQ,31,FALSE)</f>
        <v>100</v>
      </c>
      <c r="H71" s="566">
        <f>VLOOKUP(F$51,DATOS!F:AQ,37,FALSE)</f>
        <v>0</v>
      </c>
      <c r="I71" s="61"/>
      <c r="J71" s="63" t="s">
        <v>30</v>
      </c>
      <c r="K71" s="64">
        <f>VLOOKUP($F$51,DATOS!F:CO,50,FALSE)</f>
        <v>1</v>
      </c>
      <c r="L71" s="490">
        <f>VLOOKUP(F$51,DATOS!F:CO,62,FALSE)</f>
        <v>0</v>
      </c>
      <c r="M71" s="283"/>
      <c r="N71" s="49"/>
      <c r="O71" s="49"/>
      <c r="P71" s="49"/>
      <c r="Q71" s="283"/>
      <c r="R71" s="283"/>
      <c r="S71" s="283"/>
      <c r="T71" s="283"/>
      <c r="U71" s="283"/>
      <c r="V71" s="283"/>
      <c r="W71" s="283"/>
      <c r="X71" s="283"/>
      <c r="Y71" s="267"/>
      <c r="Z71" s="268"/>
      <c r="AA71" s="268"/>
      <c r="AB71" s="269"/>
      <c r="AC71" s="268"/>
      <c r="AD71" s="269"/>
      <c r="AE71" s="270"/>
      <c r="AF71" s="283"/>
    </row>
    <row r="72" spans="1:32" ht="21" customHeight="1" thickBot="1" x14ac:dyDescent="0.35">
      <c r="B72" s="283"/>
      <c r="C72" s="283"/>
      <c r="D72" s="283"/>
      <c r="E72" s="58"/>
      <c r="F72" s="568"/>
      <c r="G72" s="570"/>
      <c r="H72" s="567"/>
      <c r="I72" s="61"/>
      <c r="J72" s="63" t="s">
        <v>31</v>
      </c>
      <c r="K72" s="64">
        <f>VLOOKUP($F$51,DATOS!F:CO,51,FALSE)</f>
        <v>1</v>
      </c>
      <c r="L72" s="490">
        <f>VLOOKUP(F$51,DATOS!F:CO,63,FALSE)</f>
        <v>0</v>
      </c>
      <c r="M72" s="283"/>
      <c r="N72" s="49"/>
      <c r="O72" s="49"/>
      <c r="P72" s="49"/>
      <c r="Q72" s="283"/>
      <c r="R72" s="283"/>
      <c r="S72" s="283"/>
      <c r="T72" s="283"/>
      <c r="U72" s="283"/>
      <c r="V72" s="283"/>
      <c r="W72" s="283"/>
      <c r="X72" s="283"/>
      <c r="Y72" s="271" t="s">
        <v>32</v>
      </c>
      <c r="Z72" s="272"/>
      <c r="AA72" s="272"/>
      <c r="AB72" s="264">
        <f>IF('FORMULAS%'!D76&lt;=1,'FORMULAS%'!D76,1)</f>
        <v>1</v>
      </c>
      <c r="AC72" s="272"/>
      <c r="AD72" s="265">
        <f>IFERROR(AVERAGEIF(DATOS!J:J,'AGOSTO 2023'!Y72,DATOS!DP:DP),0)</f>
        <v>0.5</v>
      </c>
      <c r="AE72" s="273"/>
      <c r="AF72" s="283"/>
    </row>
    <row r="73" spans="1:32" ht="15" customHeight="1" thickBot="1" x14ac:dyDescent="0.35">
      <c r="B73" s="283"/>
      <c r="C73" s="283"/>
      <c r="D73" s="283"/>
      <c r="E73" s="58"/>
      <c r="F73" s="568">
        <v>2024</v>
      </c>
      <c r="G73" s="569">
        <f>VLOOKUP(F$51,DATOS!F:AQ,32,FALSE)</f>
        <v>100</v>
      </c>
      <c r="H73" s="566">
        <f>VLOOKUP(F$51,DATOS!F:AQ,38,FALSE)</f>
        <v>0</v>
      </c>
      <c r="I73" s="61"/>
      <c r="J73" s="63" t="s">
        <v>33</v>
      </c>
      <c r="K73" s="64">
        <f>VLOOKUP($F$51,DATOS!F:CO,52,FALSE)</f>
        <v>1</v>
      </c>
      <c r="L73" s="490">
        <f>VLOOKUP(F$51,DATOS!F:CO,64,FALSE)</f>
        <v>0</v>
      </c>
      <c r="M73" s="283"/>
      <c r="N73" s="49"/>
      <c r="O73" s="49"/>
      <c r="P73" s="49"/>
      <c r="Q73" s="283"/>
      <c r="R73" s="283"/>
      <c r="S73" s="283"/>
      <c r="T73" s="283"/>
      <c r="U73" s="283"/>
      <c r="V73" s="283"/>
      <c r="W73" s="283"/>
      <c r="X73" s="283"/>
      <c r="Y73" s="271"/>
      <c r="Z73" s="272"/>
      <c r="AA73" s="272"/>
      <c r="AB73" s="274"/>
      <c r="AC73" s="272"/>
      <c r="AD73" s="274"/>
      <c r="AE73" s="273"/>
      <c r="AF73" s="283"/>
    </row>
    <row r="74" spans="1:32" ht="24" thickBot="1" x14ac:dyDescent="0.35">
      <c r="B74" s="283"/>
      <c r="C74" s="283"/>
      <c r="D74" s="283"/>
      <c r="E74" s="58"/>
      <c r="F74" s="568"/>
      <c r="G74" s="570"/>
      <c r="H74" s="567"/>
      <c r="I74" s="61"/>
      <c r="J74" s="63" t="s">
        <v>22</v>
      </c>
      <c r="K74" s="64">
        <f>VLOOKUP($F$51,DATOS!F:CO,53,FALSE)</f>
        <v>1</v>
      </c>
      <c r="L74" s="490">
        <f>VLOOKUP(F$51,DATOS!F:CO,65,FALSE)</f>
        <v>0</v>
      </c>
      <c r="M74" s="283"/>
      <c r="N74" s="559" t="str">
        <f>VLOOKUP(F51,DATOS!F:CO,23,FALSE)</f>
        <v>EFICACIA</v>
      </c>
      <c r="O74" s="559"/>
      <c r="P74" s="559"/>
      <c r="Q74" s="283"/>
      <c r="R74" s="283"/>
      <c r="S74" s="283"/>
      <c r="T74" s="283"/>
      <c r="U74" s="283"/>
      <c r="V74" s="283"/>
      <c r="W74" s="283"/>
      <c r="X74" s="283"/>
      <c r="Y74" s="271" t="s">
        <v>34</v>
      </c>
      <c r="Z74" s="272"/>
      <c r="AA74" s="272"/>
      <c r="AB74" s="264">
        <f>IF('FORMULAS%'!D78&lt;=1,'FORMULAS%'!D78,1)</f>
        <v>1</v>
      </c>
      <c r="AC74" s="272"/>
      <c r="AD74" s="265">
        <f>IFERROR(AVERAGEIF(DATOS!J:J,'AGOSTO 2023'!Y74,DATOS!DP:DP),0)</f>
        <v>0.63297203035060157</v>
      </c>
      <c r="AE74" s="273"/>
      <c r="AF74" s="283"/>
    </row>
    <row r="75" spans="1:32" ht="18" customHeight="1" thickBot="1" x14ac:dyDescent="0.35">
      <c r="B75" s="283"/>
      <c r="C75" s="283"/>
      <c r="D75" s="283"/>
      <c r="E75" s="573" t="s">
        <v>35</v>
      </c>
      <c r="F75" s="573"/>
      <c r="G75" s="287">
        <f>AVERAGE(G65:G74)</f>
        <v>80</v>
      </c>
      <c r="H75" s="287">
        <f>AVERAGE(H65:H74)</f>
        <v>40</v>
      </c>
      <c r="I75" s="61"/>
      <c r="J75" s="63" t="s">
        <v>36</v>
      </c>
      <c r="K75" s="64">
        <f>VLOOKUP($F$51,DATOS!F:CO,53,FALSE)</f>
        <v>1</v>
      </c>
      <c r="L75" s="490">
        <f>VLOOKUP(F$51,DATOS!F:CO,66,FALSE)</f>
        <v>0</v>
      </c>
      <c r="M75" s="283"/>
      <c r="N75" s="49"/>
      <c r="O75" s="49"/>
      <c r="P75" s="49"/>
      <c r="Q75" s="283"/>
      <c r="R75" s="283"/>
      <c r="S75" s="283"/>
      <c r="T75" s="283"/>
      <c r="U75" s="283"/>
      <c r="V75" s="283"/>
      <c r="W75" s="283"/>
      <c r="X75" s="283"/>
      <c r="Y75" s="271"/>
      <c r="Z75" s="272"/>
      <c r="AA75" s="272"/>
      <c r="AB75" s="274"/>
      <c r="AC75" s="272"/>
      <c r="AD75" s="274"/>
      <c r="AE75" s="273"/>
      <c r="AF75" s="283"/>
    </row>
    <row r="76" spans="1:32" ht="33" customHeight="1" thickBot="1" x14ac:dyDescent="0.35">
      <c r="B76" s="283"/>
      <c r="C76" s="283"/>
      <c r="D76" s="283"/>
      <c r="E76" s="573"/>
      <c r="F76" s="573"/>
      <c r="G76" s="66"/>
      <c r="H76" s="67"/>
      <c r="I76" s="61"/>
      <c r="J76" s="63" t="s">
        <v>37</v>
      </c>
      <c r="K76" s="64">
        <f>VLOOKUP($F$51,DATOS!F:CO,55,FALSE)</f>
        <v>1</v>
      </c>
      <c r="L76" s="490">
        <f>VLOOKUP(F$51,DATOS!F:CO,67,FALSE)</f>
        <v>0</v>
      </c>
      <c r="M76" s="283"/>
      <c r="N76" s="283"/>
      <c r="O76" s="283"/>
      <c r="P76" s="283"/>
      <c r="Q76" s="283"/>
      <c r="R76" s="283"/>
      <c r="S76" s="283"/>
      <c r="T76" s="283"/>
      <c r="U76" s="283"/>
      <c r="V76" s="283"/>
      <c r="W76" s="283"/>
      <c r="X76" s="283"/>
      <c r="Y76" s="271" t="s">
        <v>38</v>
      </c>
      <c r="Z76" s="272"/>
      <c r="AA76" s="272"/>
      <c r="AB76" s="264">
        <f>IF('FORMULAS%'!D80&lt;=1,'FORMULAS%'!D80,1)</f>
        <v>0.76666666666666661</v>
      </c>
      <c r="AC76" s="272"/>
      <c r="AD76" s="265">
        <f>IFERROR(AVERAGEIF(DATOS!J:J,'AGOSTO 2023'!Y76,DATOS!DP:DP),0)</f>
        <v>0.3719298245614035</v>
      </c>
      <c r="AE76" s="273"/>
      <c r="AF76" s="283"/>
    </row>
    <row r="77" spans="1:32" ht="21" thickBot="1" x14ac:dyDescent="0.35">
      <c r="B77" s="283"/>
      <c r="C77" s="283"/>
      <c r="D77" s="283"/>
      <c r="E77" s="68"/>
      <c r="F77" s="68"/>
      <c r="G77" s="66"/>
      <c r="H77" s="69"/>
      <c r="I77" s="61"/>
      <c r="J77" s="63" t="s">
        <v>39</v>
      </c>
      <c r="K77" s="70"/>
      <c r="L77" s="70"/>
      <c r="M77" s="283"/>
      <c r="N77" s="283"/>
      <c r="O77" s="283"/>
      <c r="P77" s="283"/>
      <c r="Q77" s="283"/>
      <c r="R77" s="283"/>
      <c r="S77" s="283"/>
      <c r="T77" s="283"/>
      <c r="U77" s="283"/>
      <c r="V77" s="283"/>
      <c r="W77" s="283"/>
      <c r="X77" s="283"/>
      <c r="Y77" s="271"/>
      <c r="Z77" s="272"/>
      <c r="AA77" s="272"/>
      <c r="AB77" s="274"/>
      <c r="AC77" s="272"/>
      <c r="AD77" s="274"/>
      <c r="AE77" s="273"/>
      <c r="AF77" s="283"/>
    </row>
    <row r="78" spans="1:32" ht="21" thickBot="1" x14ac:dyDescent="0.35">
      <c r="A78" s="282"/>
      <c r="B78" s="283"/>
      <c r="C78" s="283"/>
      <c r="D78" s="283"/>
      <c r="E78" s="283"/>
      <c r="F78" s="283"/>
      <c r="G78" s="283"/>
      <c r="H78" s="283"/>
      <c r="I78" s="283"/>
      <c r="J78" s="283"/>
      <c r="K78" s="283"/>
      <c r="L78" s="283"/>
      <c r="M78" s="283"/>
      <c r="N78" s="283"/>
      <c r="O78" s="283"/>
      <c r="P78" s="283"/>
      <c r="Q78" s="283"/>
      <c r="R78" s="283"/>
      <c r="S78" s="283"/>
      <c r="T78" s="283"/>
      <c r="U78" s="283"/>
      <c r="V78" s="283"/>
      <c r="W78" s="283"/>
      <c r="X78" s="283"/>
      <c r="Y78" s="271" t="s">
        <v>40</v>
      </c>
      <c r="Z78" s="272"/>
      <c r="AA78" s="272"/>
      <c r="AB78" s="264">
        <f>IF('FORMULAS%'!D82&lt;=1,'FORMULAS%'!D82,1)</f>
        <v>0.91547727132089951</v>
      </c>
      <c r="AC78" s="272"/>
      <c r="AD78" s="265">
        <f>IFERROR(AVERAGEIF(DATOS!J:J,'AGOSTO 2023'!Y78,DATOS!DP:DP),0)</f>
        <v>0.54952434994616395</v>
      </c>
      <c r="AE78" s="273"/>
      <c r="AF78" s="283"/>
    </row>
    <row r="79" spans="1:32" ht="23.25" thickBot="1" x14ac:dyDescent="0.35">
      <c r="B79" s="283"/>
      <c r="C79" s="571"/>
      <c r="D79" s="571"/>
      <c r="E79" s="217"/>
      <c r="F79" s="572" t="s">
        <v>31</v>
      </c>
      <c r="G79" s="572"/>
      <c r="H79" s="572"/>
      <c r="I79" s="217"/>
      <c r="J79" s="217"/>
      <c r="K79" s="217"/>
      <c r="L79" s="217"/>
      <c r="M79" s="217"/>
      <c r="N79" s="217"/>
      <c r="O79" s="217"/>
      <c r="P79" s="217"/>
      <c r="Q79" s="283"/>
      <c r="R79" s="283"/>
      <c r="S79" s="283"/>
      <c r="T79" s="283"/>
      <c r="U79" s="283"/>
      <c r="V79" s="283"/>
      <c r="W79" s="283"/>
      <c r="X79" s="283"/>
      <c r="Y79" s="271"/>
      <c r="Z79" s="272"/>
      <c r="AA79" s="272"/>
      <c r="AB79" s="274"/>
      <c r="AC79" s="272"/>
      <c r="AD79" s="274"/>
      <c r="AE79" s="273"/>
      <c r="AF79" s="283"/>
    </row>
    <row r="80" spans="1:32" ht="21" thickBot="1" x14ac:dyDescent="0.35">
      <c r="B80" s="283"/>
      <c r="C80" s="218"/>
      <c r="D80" s="218"/>
      <c r="E80" s="218"/>
      <c r="F80" s="218"/>
      <c r="G80" s="218"/>
      <c r="H80" s="218"/>
      <c r="I80" s="218"/>
      <c r="J80" s="218"/>
      <c r="K80" s="218"/>
      <c r="L80" s="218"/>
      <c r="M80" s="218"/>
      <c r="N80" s="218"/>
      <c r="O80" s="218"/>
      <c r="P80" s="218"/>
      <c r="Q80" s="283"/>
      <c r="R80" s="283"/>
      <c r="S80" s="283"/>
      <c r="T80" s="283"/>
      <c r="U80" s="283"/>
      <c r="V80" s="283"/>
      <c r="W80" s="283"/>
      <c r="X80" s="283"/>
      <c r="Y80" s="271" t="s">
        <v>41</v>
      </c>
      <c r="Z80" s="272"/>
      <c r="AA80" s="272"/>
      <c r="AB80" s="264">
        <f>IF('FORMULAS%'!D84&lt;=1,'FORMULAS%'!D84,1)</f>
        <v>1</v>
      </c>
      <c r="AC80" s="272"/>
      <c r="AD80" s="265">
        <f>IFERROR(AVERAGEIF(DATOS!J:J,'AGOSTO 2023'!Y80,DATOS!DP:DP),0)</f>
        <v>0.15</v>
      </c>
      <c r="AE80" s="273"/>
      <c r="AF80" s="283"/>
    </row>
    <row r="81" spans="2:32" ht="14.45" customHeight="1" thickBot="1" x14ac:dyDescent="0.35">
      <c r="B81" s="283"/>
      <c r="C81" s="218"/>
      <c r="D81" s="218"/>
      <c r="E81" s="218"/>
      <c r="F81" s="218"/>
      <c r="G81" s="218"/>
      <c r="H81" s="218"/>
      <c r="I81" s="218"/>
      <c r="J81" s="218"/>
      <c r="K81" s="218"/>
      <c r="L81" s="218"/>
      <c r="M81" s="218"/>
      <c r="N81" s="218"/>
      <c r="O81" s="218"/>
      <c r="P81" s="218"/>
      <c r="Q81" s="283"/>
      <c r="R81" s="283"/>
      <c r="S81" s="283"/>
      <c r="T81" s="283"/>
      <c r="U81" s="283"/>
      <c r="V81" s="283"/>
      <c r="W81" s="283"/>
      <c r="X81" s="283"/>
      <c r="Y81" s="271"/>
      <c r="Z81" s="272"/>
      <c r="AA81" s="272"/>
      <c r="AB81" s="274"/>
      <c r="AC81" s="272"/>
      <c r="AD81" s="274"/>
      <c r="AE81" s="273"/>
      <c r="AF81" s="283"/>
    </row>
    <row r="82" spans="2:32" ht="24" customHeight="1" thickBot="1" x14ac:dyDescent="0.35">
      <c r="B82" s="283"/>
      <c r="C82" s="533" t="str">
        <f>VLOOKUP(F51,DATOS!F:CF,MATCH('AGOSTO 2023'!F79,DATOS!F3:CF3,0),FALSE)</f>
        <v>No se reporta ejecución en esta meta debido a que aún no se ha contratado el Oficial de Seguridad de la Información, quien es el líder de la Política de Seguridad Digital.</v>
      </c>
      <c r="D82" s="533"/>
      <c r="E82" s="533"/>
      <c r="F82" s="533"/>
      <c r="G82" s="533"/>
      <c r="H82" s="533"/>
      <c r="I82" s="533"/>
      <c r="J82" s="533"/>
      <c r="K82" s="533"/>
      <c r="L82" s="533"/>
      <c r="M82" s="533"/>
      <c r="N82" s="533"/>
      <c r="O82" s="533"/>
      <c r="P82" s="533"/>
      <c r="Q82" s="283"/>
      <c r="R82" s="283"/>
      <c r="S82" s="283"/>
      <c r="T82" s="283"/>
      <c r="U82" s="283"/>
      <c r="V82" s="283"/>
      <c r="W82" s="283"/>
      <c r="X82" s="283"/>
      <c r="Y82" s="271" t="s">
        <v>42</v>
      </c>
      <c r="Z82" s="272"/>
      <c r="AA82" s="272"/>
      <c r="AB82" s="264">
        <f>IF('FORMULAS%'!D86&lt;=1,'FORMULAS%'!D86,1)</f>
        <v>0.9719000000000001</v>
      </c>
      <c r="AC82" s="272"/>
      <c r="AD82" s="265">
        <f>IFERROR(AVERAGEIF(DATOS!J:J,'AGOSTO 2023'!Y82,DATOS!DP:DP),0)</f>
        <v>0.36446250000000002</v>
      </c>
      <c r="AE82" s="273"/>
      <c r="AF82" s="283"/>
    </row>
    <row r="83" spans="2:32" ht="14.45" customHeight="1" thickBot="1" x14ac:dyDescent="0.35">
      <c r="B83" s="283"/>
      <c r="C83" s="533"/>
      <c r="D83" s="533"/>
      <c r="E83" s="533"/>
      <c r="F83" s="533"/>
      <c r="G83" s="533"/>
      <c r="H83" s="533"/>
      <c r="I83" s="533"/>
      <c r="J83" s="533"/>
      <c r="K83" s="533"/>
      <c r="L83" s="533"/>
      <c r="M83" s="533"/>
      <c r="N83" s="533"/>
      <c r="O83" s="533"/>
      <c r="P83" s="533"/>
      <c r="Q83" s="283"/>
      <c r="R83" s="283"/>
      <c r="S83" s="283"/>
      <c r="T83" s="283"/>
      <c r="U83" s="283"/>
      <c r="V83" s="283"/>
      <c r="W83" s="283"/>
      <c r="X83" s="283"/>
      <c r="Y83" s="275"/>
      <c r="Z83" s="276"/>
      <c r="AA83" s="276"/>
      <c r="AB83" s="277"/>
      <c r="AC83" s="276"/>
      <c r="AD83" s="277"/>
      <c r="AE83" s="278"/>
      <c r="AF83" s="283"/>
    </row>
    <row r="84" spans="2:32" ht="14.45" customHeight="1" thickBot="1" x14ac:dyDescent="0.35">
      <c r="B84" s="283"/>
      <c r="C84" s="533"/>
      <c r="D84" s="533"/>
      <c r="E84" s="533"/>
      <c r="F84" s="533"/>
      <c r="G84" s="533"/>
      <c r="H84" s="533"/>
      <c r="I84" s="533"/>
      <c r="J84" s="533"/>
      <c r="K84" s="533"/>
      <c r="L84" s="533"/>
      <c r="M84" s="533"/>
      <c r="N84" s="533"/>
      <c r="O84" s="533"/>
      <c r="P84" s="533"/>
      <c r="Q84" s="283"/>
      <c r="R84" s="283"/>
      <c r="S84" s="283"/>
      <c r="T84" s="283"/>
      <c r="U84" s="283"/>
      <c r="V84" s="283"/>
      <c r="W84" s="283"/>
      <c r="X84" s="283"/>
      <c r="Y84" s="8"/>
      <c r="Z84" s="245"/>
      <c r="AA84" s="9"/>
      <c r="AB84" s="10"/>
      <c r="AC84" s="9"/>
      <c r="AD84" s="10"/>
      <c r="AE84" s="2"/>
      <c r="AF84" s="283"/>
    </row>
    <row r="85" spans="2:32" ht="14.45" customHeight="1" thickBot="1" x14ac:dyDescent="0.35">
      <c r="B85" s="283"/>
      <c r="C85" s="533"/>
      <c r="D85" s="533"/>
      <c r="E85" s="533"/>
      <c r="F85" s="533"/>
      <c r="G85" s="533"/>
      <c r="H85" s="533"/>
      <c r="I85" s="533"/>
      <c r="J85" s="533"/>
      <c r="K85" s="533"/>
      <c r="L85" s="533"/>
      <c r="M85" s="533"/>
      <c r="N85" s="533"/>
      <c r="O85" s="533"/>
      <c r="P85" s="533"/>
      <c r="Q85" s="283"/>
      <c r="R85" s="283"/>
      <c r="S85" s="283"/>
      <c r="T85" s="283"/>
      <c r="U85" s="283"/>
      <c r="V85" s="283"/>
      <c r="W85" s="283"/>
      <c r="X85" s="283"/>
      <c r="Y85" s="11"/>
      <c r="Z85" s="12"/>
      <c r="AA85" s="12"/>
      <c r="AB85" s="13"/>
      <c r="AC85" s="12"/>
      <c r="AD85" s="13"/>
      <c r="AE85" s="14"/>
      <c r="AF85" s="283"/>
    </row>
    <row r="86" spans="2:32" ht="25.35" customHeight="1" thickBot="1" x14ac:dyDescent="0.35">
      <c r="B86" s="283"/>
      <c r="C86" s="533"/>
      <c r="D86" s="533"/>
      <c r="E86" s="533"/>
      <c r="F86" s="533"/>
      <c r="G86" s="533"/>
      <c r="H86" s="533"/>
      <c r="I86" s="533"/>
      <c r="J86" s="533"/>
      <c r="K86" s="533"/>
      <c r="L86" s="533"/>
      <c r="M86" s="533"/>
      <c r="N86" s="533"/>
      <c r="O86" s="533"/>
      <c r="P86" s="533"/>
      <c r="Q86" s="283"/>
      <c r="R86" s="283"/>
      <c r="S86" s="283"/>
      <c r="T86" s="283"/>
      <c r="U86" s="283"/>
      <c r="V86" s="283"/>
      <c r="W86" s="283"/>
      <c r="X86" s="283"/>
      <c r="Y86" s="15" t="s">
        <v>43</v>
      </c>
      <c r="Z86" s="16"/>
      <c r="AA86" s="16"/>
      <c r="AB86" s="264">
        <f>IF('FORMULAS%'!D90&lt;=1,'FORMULAS%'!D90,1)</f>
        <v>1</v>
      </c>
      <c r="AC86" s="16"/>
      <c r="AD86" s="265">
        <f>IFERROR(AVERAGEIF(DATOS!J:J,'AGOSTO 2023'!Y86,DATOS!DP:DP),0)</f>
        <v>0.60070054945054951</v>
      </c>
      <c r="AE86" s="17"/>
      <c r="AF86" s="283"/>
    </row>
    <row r="87" spans="2:32" ht="14.45" customHeight="1" thickBot="1" x14ac:dyDescent="0.35">
      <c r="B87" s="283"/>
      <c r="C87" s="533"/>
      <c r="D87" s="533"/>
      <c r="E87" s="533"/>
      <c r="F87" s="533"/>
      <c r="G87" s="533"/>
      <c r="H87" s="533"/>
      <c r="I87" s="533"/>
      <c r="J87" s="533"/>
      <c r="K87" s="533"/>
      <c r="L87" s="533"/>
      <c r="M87" s="533"/>
      <c r="N87" s="533"/>
      <c r="O87" s="533"/>
      <c r="P87" s="533"/>
      <c r="Q87" s="283"/>
      <c r="R87" s="283"/>
      <c r="S87" s="283"/>
      <c r="T87" s="283"/>
      <c r="U87" s="283"/>
      <c r="V87" s="283"/>
      <c r="W87" s="283"/>
      <c r="X87" s="283"/>
      <c r="Y87" s="15"/>
      <c r="Z87" s="16"/>
      <c r="AA87" s="16"/>
      <c r="AB87" s="18"/>
      <c r="AC87" s="16"/>
      <c r="AD87" s="18"/>
      <c r="AE87" s="17"/>
      <c r="AF87" s="283"/>
    </row>
    <row r="88" spans="2:32" ht="32.1" customHeight="1" thickBot="1" x14ac:dyDescent="0.35">
      <c r="B88" s="283"/>
      <c r="C88" s="533"/>
      <c r="D88" s="533"/>
      <c r="E88" s="533"/>
      <c r="F88" s="533"/>
      <c r="G88" s="533"/>
      <c r="H88" s="533"/>
      <c r="I88" s="533"/>
      <c r="J88" s="533"/>
      <c r="K88" s="533"/>
      <c r="L88" s="533"/>
      <c r="M88" s="533"/>
      <c r="N88" s="533"/>
      <c r="O88" s="533"/>
      <c r="P88" s="533"/>
      <c r="Q88" s="283"/>
      <c r="R88" s="283"/>
      <c r="S88" s="283"/>
      <c r="T88" s="283"/>
      <c r="U88" s="283"/>
      <c r="V88" s="283"/>
      <c r="W88" s="283"/>
      <c r="X88" s="283"/>
      <c r="Y88" s="15" t="s">
        <v>44</v>
      </c>
      <c r="Z88" s="16"/>
      <c r="AA88" s="16"/>
      <c r="AB88" s="264">
        <f>IF('FORMULAS%'!D92&lt;=1,'FORMULAS%'!D92,1)</f>
        <v>0.62191486486486491</v>
      </c>
      <c r="AC88" s="16"/>
      <c r="AD88" s="265">
        <f>IFERROR(AVERAGEIF(DATOS!J:J,'AGOSTO 2023'!Y88,DATOS!DP:DP),0)</f>
        <v>0.27534999999999998</v>
      </c>
      <c r="AE88" s="17"/>
      <c r="AF88" s="283"/>
    </row>
    <row r="89" spans="2:32" ht="14.45" customHeight="1" thickBot="1" x14ac:dyDescent="0.35">
      <c r="B89" s="283"/>
      <c r="C89" s="533"/>
      <c r="D89" s="533"/>
      <c r="E89" s="533"/>
      <c r="F89" s="533"/>
      <c r="G89" s="533"/>
      <c r="H89" s="533"/>
      <c r="I89" s="533"/>
      <c r="J89" s="533"/>
      <c r="K89" s="533"/>
      <c r="L89" s="533"/>
      <c r="M89" s="533"/>
      <c r="N89" s="533"/>
      <c r="O89" s="533"/>
      <c r="P89" s="533"/>
      <c r="Q89" s="283"/>
      <c r="R89" s="283"/>
      <c r="S89" s="283"/>
      <c r="T89" s="283"/>
      <c r="U89" s="283"/>
      <c r="V89" s="283"/>
      <c r="W89" s="283"/>
      <c r="X89" s="283"/>
      <c r="Y89" s="15"/>
      <c r="Z89" s="16"/>
      <c r="AA89" s="16"/>
      <c r="AB89" s="18"/>
      <c r="AC89" s="16"/>
      <c r="AD89" s="18"/>
      <c r="AE89" s="17"/>
      <c r="AF89" s="283"/>
    </row>
    <row r="90" spans="2:32" ht="37.35" customHeight="1" thickBot="1" x14ac:dyDescent="0.35">
      <c r="B90" s="283"/>
      <c r="C90" s="533"/>
      <c r="D90" s="533"/>
      <c r="E90" s="533"/>
      <c r="F90" s="533"/>
      <c r="G90" s="533"/>
      <c r="H90" s="533"/>
      <c r="I90" s="533"/>
      <c r="J90" s="533"/>
      <c r="K90" s="533"/>
      <c r="L90" s="533"/>
      <c r="M90" s="533"/>
      <c r="N90" s="533"/>
      <c r="O90" s="533"/>
      <c r="P90" s="533"/>
      <c r="Q90" s="283"/>
      <c r="R90" s="283"/>
      <c r="S90" s="283"/>
      <c r="T90" s="283"/>
      <c r="U90" s="283"/>
      <c r="V90" s="283"/>
      <c r="W90" s="283"/>
      <c r="X90" s="283"/>
      <c r="Y90" s="15" t="s">
        <v>45</v>
      </c>
      <c r="Z90" s="16"/>
      <c r="AA90" s="16"/>
      <c r="AB90" s="264">
        <f>IF('FORMULAS%'!D94&lt;=1,'FORMULAS%'!D94,1)</f>
        <v>0.85336921464279958</v>
      </c>
      <c r="AC90" s="16"/>
      <c r="AD90" s="265">
        <f>IFERROR(AVERAGEIF(DATOS!J:J,'AGOSTO 2023'!Y90,DATOS!DP:DP),0)</f>
        <v>0.50219428794992171</v>
      </c>
      <c r="AE90" s="17"/>
      <c r="AF90" s="283"/>
    </row>
    <row r="91" spans="2:32" ht="14.45" customHeight="1" thickBot="1" x14ac:dyDescent="0.35">
      <c r="B91" s="283"/>
      <c r="C91" s="533"/>
      <c r="D91" s="533"/>
      <c r="E91" s="533"/>
      <c r="F91" s="533"/>
      <c r="G91" s="533"/>
      <c r="H91" s="533"/>
      <c r="I91" s="533"/>
      <c r="J91" s="533"/>
      <c r="K91" s="533"/>
      <c r="L91" s="533"/>
      <c r="M91" s="533"/>
      <c r="N91" s="533"/>
      <c r="O91" s="533"/>
      <c r="P91" s="533"/>
      <c r="Q91" s="283"/>
      <c r="R91" s="283"/>
      <c r="S91" s="283"/>
      <c r="T91" s="283"/>
      <c r="U91" s="283"/>
      <c r="V91" s="283"/>
      <c r="W91" s="283"/>
      <c r="X91" s="283"/>
      <c r="Y91" s="15"/>
      <c r="Z91" s="16"/>
      <c r="AA91" s="16"/>
      <c r="AB91" s="18"/>
      <c r="AC91" s="16"/>
      <c r="AD91" s="18"/>
      <c r="AE91" s="17"/>
      <c r="AF91" s="283"/>
    </row>
    <row r="92" spans="2:32" ht="28.35" customHeight="1" thickBot="1" x14ac:dyDescent="0.35">
      <c r="B92" s="283"/>
      <c r="C92" s="533"/>
      <c r="D92" s="533"/>
      <c r="E92" s="533"/>
      <c r="F92" s="533"/>
      <c r="G92" s="533"/>
      <c r="H92" s="533"/>
      <c r="I92" s="533"/>
      <c r="J92" s="533"/>
      <c r="K92" s="533"/>
      <c r="L92" s="533"/>
      <c r="M92" s="533"/>
      <c r="N92" s="533"/>
      <c r="O92" s="533"/>
      <c r="P92" s="533"/>
      <c r="Q92" s="283"/>
      <c r="R92" s="283"/>
      <c r="S92" s="283"/>
      <c r="T92" s="283"/>
      <c r="U92" s="283"/>
      <c r="V92" s="283"/>
      <c r="W92" s="283"/>
      <c r="X92" s="283"/>
      <c r="Y92" s="15" t="s">
        <v>46</v>
      </c>
      <c r="Z92" s="16"/>
      <c r="AA92" s="16"/>
      <c r="AB92" s="264">
        <f>IF('FORMULAS%'!D96&lt;=1,'FORMULAS%'!D96,1)</f>
        <v>1</v>
      </c>
      <c r="AC92" s="16"/>
      <c r="AD92" s="265">
        <f>IFERROR(AVERAGEIF(DATOS!J:J,'AGOSTO 2023'!Y92,DATOS!DP:DP),0)</f>
        <v>1.4167463257519139</v>
      </c>
      <c r="AE92" s="17"/>
      <c r="AF92" s="283"/>
    </row>
    <row r="93" spans="2:32" ht="14.45" customHeight="1" thickBot="1" x14ac:dyDescent="0.35">
      <c r="B93" s="283"/>
      <c r="C93" s="533"/>
      <c r="D93" s="533"/>
      <c r="E93" s="533"/>
      <c r="F93" s="533"/>
      <c r="G93" s="533"/>
      <c r="H93" s="533"/>
      <c r="I93" s="533"/>
      <c r="J93" s="533"/>
      <c r="K93" s="533"/>
      <c r="L93" s="533"/>
      <c r="M93" s="533"/>
      <c r="N93" s="533"/>
      <c r="O93" s="533"/>
      <c r="P93" s="533"/>
      <c r="Q93" s="283"/>
      <c r="R93" s="283"/>
      <c r="S93" s="283"/>
      <c r="T93" s="283"/>
      <c r="U93" s="283"/>
      <c r="V93" s="283"/>
      <c r="W93" s="283"/>
      <c r="X93" s="283"/>
      <c r="Y93" s="15"/>
      <c r="Z93" s="16"/>
      <c r="AA93" s="16"/>
      <c r="AB93" s="18"/>
      <c r="AC93" s="16"/>
      <c r="AD93" s="18"/>
      <c r="AE93" s="17"/>
      <c r="AF93" s="283"/>
    </row>
    <row r="94" spans="2:32" ht="25.35" customHeight="1" thickBot="1" x14ac:dyDescent="0.35">
      <c r="B94" s="283"/>
      <c r="C94" s="533"/>
      <c r="D94" s="533"/>
      <c r="E94" s="533"/>
      <c r="F94" s="533"/>
      <c r="G94" s="533"/>
      <c r="H94" s="533"/>
      <c r="I94" s="533"/>
      <c r="J94" s="533"/>
      <c r="K94" s="533"/>
      <c r="L94" s="533"/>
      <c r="M94" s="533"/>
      <c r="N94" s="533"/>
      <c r="O94" s="533"/>
      <c r="P94" s="533"/>
      <c r="Q94" s="283"/>
      <c r="R94" s="283"/>
      <c r="S94" s="283"/>
      <c r="T94" s="283"/>
      <c r="U94" s="283"/>
      <c r="V94" s="283"/>
      <c r="W94" s="283"/>
      <c r="X94" s="283"/>
      <c r="Y94" s="15" t="s">
        <v>47</v>
      </c>
      <c r="Z94" s="16"/>
      <c r="AA94" s="16"/>
      <c r="AB94" s="264">
        <f>IF('FORMULAS%'!D98&lt;=1,'FORMULAS%'!D98,1)</f>
        <v>1</v>
      </c>
      <c r="AC94" s="16"/>
      <c r="AD94" s="265">
        <f>IFERROR(AVERAGEIF(DATOS!J:J,'AGOSTO 2023'!Y94,DATOS!DP:DP),0)</f>
        <v>0.6792853154189793</v>
      </c>
      <c r="AE94" s="17"/>
      <c r="AF94" s="283"/>
    </row>
    <row r="95" spans="2:32" ht="14.45" customHeight="1" x14ac:dyDescent="0.3">
      <c r="B95" s="283"/>
      <c r="C95" s="533"/>
      <c r="D95" s="533"/>
      <c r="E95" s="533"/>
      <c r="F95" s="533"/>
      <c r="G95" s="533"/>
      <c r="H95" s="533"/>
      <c r="I95" s="533"/>
      <c r="J95" s="533"/>
      <c r="K95" s="533"/>
      <c r="L95" s="533"/>
      <c r="M95" s="533"/>
      <c r="N95" s="533"/>
      <c r="O95" s="533"/>
      <c r="P95" s="533"/>
      <c r="Q95" s="283"/>
      <c r="R95" s="283"/>
      <c r="S95" s="283"/>
      <c r="T95" s="283"/>
      <c r="U95" s="283"/>
      <c r="V95" s="283"/>
      <c r="W95" s="283"/>
      <c r="X95" s="283"/>
      <c r="Y95" s="15"/>
      <c r="Z95" s="16"/>
      <c r="AA95" s="16"/>
      <c r="AB95" s="18"/>
      <c r="AC95" s="16"/>
      <c r="AD95" s="18"/>
      <c r="AE95" s="17"/>
      <c r="AF95" s="283"/>
    </row>
    <row r="96" spans="2:32" ht="14.45" customHeight="1" thickBot="1" x14ac:dyDescent="0.35">
      <c r="B96" s="283"/>
      <c r="C96" s="533"/>
      <c r="D96" s="533"/>
      <c r="E96" s="533"/>
      <c r="F96" s="533"/>
      <c r="G96" s="533"/>
      <c r="H96" s="533"/>
      <c r="I96" s="533"/>
      <c r="J96" s="533"/>
      <c r="K96" s="533"/>
      <c r="L96" s="533"/>
      <c r="M96" s="533"/>
      <c r="N96" s="533"/>
      <c r="O96" s="533"/>
      <c r="P96" s="533"/>
      <c r="Q96" s="283"/>
      <c r="R96" s="283"/>
      <c r="S96" s="283"/>
      <c r="T96" s="283"/>
      <c r="U96" s="283"/>
      <c r="V96" s="283"/>
      <c r="W96" s="283"/>
      <c r="X96" s="283"/>
      <c r="Y96" s="19"/>
      <c r="Z96" s="20"/>
      <c r="AA96" s="20"/>
      <c r="AB96" s="21"/>
      <c r="AC96" s="20"/>
      <c r="AD96" s="21"/>
      <c r="AE96" s="22"/>
      <c r="AF96" s="283"/>
    </row>
    <row r="97" spans="2:32" ht="20.45" customHeight="1" thickBot="1" x14ac:dyDescent="0.35">
      <c r="B97" s="283"/>
      <c r="C97" s="533"/>
      <c r="D97" s="533"/>
      <c r="E97" s="533"/>
      <c r="F97" s="533"/>
      <c r="G97" s="533"/>
      <c r="H97" s="533"/>
      <c r="I97" s="533"/>
      <c r="J97" s="533"/>
      <c r="K97" s="533"/>
      <c r="L97" s="533"/>
      <c r="M97" s="533"/>
      <c r="N97" s="533"/>
      <c r="O97" s="533"/>
      <c r="P97" s="533"/>
      <c r="Q97" s="283"/>
      <c r="R97" s="283"/>
      <c r="S97" s="283"/>
      <c r="T97" s="283"/>
      <c r="U97" s="283"/>
      <c r="V97" s="283"/>
      <c r="W97" s="283"/>
      <c r="X97" s="283"/>
      <c r="Y97" s="8"/>
      <c r="Z97" s="245"/>
      <c r="AA97" s="9"/>
      <c r="AB97" s="23"/>
      <c r="AC97" s="9"/>
      <c r="AD97" s="23"/>
      <c r="AE97" s="2"/>
      <c r="AF97" s="283"/>
    </row>
    <row r="98" spans="2:32" ht="14.45" customHeight="1" thickBot="1" x14ac:dyDescent="0.35">
      <c r="B98" s="283"/>
      <c r="C98" s="533"/>
      <c r="D98" s="533"/>
      <c r="E98" s="533"/>
      <c r="F98" s="533"/>
      <c r="G98" s="533"/>
      <c r="H98" s="533"/>
      <c r="I98" s="533"/>
      <c r="J98" s="533"/>
      <c r="K98" s="533"/>
      <c r="L98" s="533"/>
      <c r="M98" s="533"/>
      <c r="N98" s="533"/>
      <c r="O98" s="533"/>
      <c r="P98" s="533"/>
      <c r="Q98" s="283"/>
      <c r="R98" s="283"/>
      <c r="S98" s="283"/>
      <c r="T98" s="283"/>
      <c r="U98" s="283"/>
      <c r="V98" s="283"/>
      <c r="W98" s="283"/>
      <c r="X98" s="283"/>
      <c r="Y98" s="24"/>
      <c r="Z98" s="25"/>
      <c r="AA98" s="25"/>
      <c r="AB98" s="26"/>
      <c r="AC98" s="25"/>
      <c r="AD98" s="26"/>
      <c r="AE98" s="27"/>
      <c r="AF98" s="283"/>
    </row>
    <row r="99" spans="2:32" ht="14.45" customHeight="1" thickBot="1" x14ac:dyDescent="0.35">
      <c r="B99" s="283"/>
      <c r="C99" s="533"/>
      <c r="D99" s="533"/>
      <c r="E99" s="533"/>
      <c r="F99" s="533"/>
      <c r="G99" s="533"/>
      <c r="H99" s="533"/>
      <c r="I99" s="533"/>
      <c r="J99" s="533"/>
      <c r="K99" s="533"/>
      <c r="L99" s="533"/>
      <c r="M99" s="533"/>
      <c r="N99" s="533"/>
      <c r="O99" s="533"/>
      <c r="P99" s="533"/>
      <c r="Q99" s="283"/>
      <c r="R99" s="283"/>
      <c r="S99" s="283"/>
      <c r="T99" s="283"/>
      <c r="U99" s="283"/>
      <c r="V99" s="283"/>
      <c r="W99" s="283"/>
      <c r="X99" s="283"/>
      <c r="Y99" s="28" t="s">
        <v>48</v>
      </c>
      <c r="Z99" s="29"/>
      <c r="AA99" s="29"/>
      <c r="AB99" s="264">
        <f>IF('FORMULAS%'!D103&lt;=1,'FORMULAS%'!D103,1)</f>
        <v>1</v>
      </c>
      <c r="AC99" s="29"/>
      <c r="AD99" s="265">
        <f>IFERROR(AVERAGEIF(DATOS!J:J,'AGOSTO 2023'!Y99,DATOS!DP:DP),0)</f>
        <v>0.5</v>
      </c>
      <c r="AE99" s="30"/>
      <c r="AF99" s="283"/>
    </row>
    <row r="100" spans="2:32" ht="14.45" customHeight="1" thickBot="1" x14ac:dyDescent="0.35">
      <c r="B100" s="283"/>
      <c r="C100" s="533"/>
      <c r="D100" s="533"/>
      <c r="E100" s="533"/>
      <c r="F100" s="533"/>
      <c r="G100" s="533"/>
      <c r="H100" s="533"/>
      <c r="I100" s="533"/>
      <c r="J100" s="533"/>
      <c r="K100" s="533"/>
      <c r="L100" s="533"/>
      <c r="M100" s="533"/>
      <c r="N100" s="533"/>
      <c r="O100" s="533"/>
      <c r="P100" s="533"/>
      <c r="Q100" s="283"/>
      <c r="R100" s="283"/>
      <c r="S100" s="283"/>
      <c r="T100" s="283"/>
      <c r="U100" s="283"/>
      <c r="V100" s="283"/>
      <c r="W100" s="283"/>
      <c r="X100" s="283"/>
      <c r="Y100" s="28"/>
      <c r="Z100" s="29"/>
      <c r="AA100" s="29"/>
      <c r="AB100" s="31"/>
      <c r="AC100" s="29"/>
      <c r="AD100" s="31"/>
      <c r="AE100" s="30"/>
      <c r="AF100" s="283"/>
    </row>
    <row r="101" spans="2:32" ht="19.350000000000001" customHeight="1" thickBot="1" x14ac:dyDescent="0.35">
      <c r="B101" s="283"/>
      <c r="C101" s="533"/>
      <c r="D101" s="533"/>
      <c r="E101" s="533"/>
      <c r="F101" s="533"/>
      <c r="G101" s="533"/>
      <c r="H101" s="533"/>
      <c r="I101" s="533"/>
      <c r="J101" s="533"/>
      <c r="K101" s="533"/>
      <c r="L101" s="533"/>
      <c r="M101" s="533"/>
      <c r="N101" s="533"/>
      <c r="O101" s="533"/>
      <c r="P101" s="533"/>
      <c r="Q101" s="283"/>
      <c r="R101" s="283"/>
      <c r="S101" s="283"/>
      <c r="T101" s="283"/>
      <c r="U101" s="283"/>
      <c r="V101" s="283"/>
      <c r="W101" s="283"/>
      <c r="X101" s="283"/>
      <c r="Y101" s="28" t="s">
        <v>49</v>
      </c>
      <c r="Z101" s="29"/>
      <c r="AA101" s="29"/>
      <c r="AB101" s="264">
        <f>IF('FORMULAS%'!D105&lt;=1,'FORMULAS%'!D105,1)</f>
        <v>1</v>
      </c>
      <c r="AC101" s="29"/>
      <c r="AD101" s="265">
        <f>IFERROR(AVERAGEIF(DATOS!J:J,'AGOSTO 2023'!Y101,DATOS!DP:DP),0)</f>
        <v>0.51897250566893416</v>
      </c>
      <c r="AE101" s="30"/>
      <c r="AF101" s="283"/>
    </row>
    <row r="102" spans="2:32" ht="21" thickBot="1" x14ac:dyDescent="0.35">
      <c r="B102" s="283"/>
      <c r="C102" s="533"/>
      <c r="D102" s="533"/>
      <c r="E102" s="533"/>
      <c r="F102" s="533"/>
      <c r="G102" s="533"/>
      <c r="H102" s="533"/>
      <c r="I102" s="533"/>
      <c r="J102" s="533"/>
      <c r="K102" s="533"/>
      <c r="L102" s="533"/>
      <c r="M102" s="533"/>
      <c r="N102" s="533"/>
      <c r="O102" s="533"/>
      <c r="P102" s="533"/>
      <c r="Q102" s="283"/>
      <c r="R102" s="283"/>
      <c r="S102" s="283"/>
      <c r="T102" s="283"/>
      <c r="U102" s="283"/>
      <c r="V102" s="283"/>
      <c r="W102" s="283"/>
      <c r="X102" s="283"/>
      <c r="Y102" s="28"/>
      <c r="Z102" s="29"/>
      <c r="AA102" s="29"/>
      <c r="AB102" s="31"/>
      <c r="AC102" s="29"/>
      <c r="AD102" s="31"/>
      <c r="AE102" s="30"/>
      <c r="AF102" s="283"/>
    </row>
    <row r="103" spans="2:32" ht="21" thickBot="1" x14ac:dyDescent="0.35">
      <c r="B103" s="283"/>
      <c r="C103" s="533"/>
      <c r="D103" s="533"/>
      <c r="E103" s="533"/>
      <c r="F103" s="533"/>
      <c r="G103" s="533"/>
      <c r="H103" s="533"/>
      <c r="I103" s="533"/>
      <c r="J103" s="533"/>
      <c r="K103" s="533"/>
      <c r="L103" s="533"/>
      <c r="M103" s="533"/>
      <c r="N103" s="533"/>
      <c r="O103" s="533"/>
      <c r="P103" s="533"/>
      <c r="Q103" s="283"/>
      <c r="R103" s="283"/>
      <c r="S103" s="283"/>
      <c r="T103" s="283"/>
      <c r="U103" s="283"/>
      <c r="V103" s="283"/>
      <c r="W103" s="283"/>
      <c r="X103" s="283"/>
      <c r="Y103" s="28" t="s">
        <v>50</v>
      </c>
      <c r="Z103" s="29"/>
      <c r="AA103" s="29"/>
      <c r="AB103" s="264">
        <f>IF('FORMULAS%'!D107&lt;=1,'FORMULAS%'!D107,1)</f>
        <v>0.52916666666666667</v>
      </c>
      <c r="AC103" s="29"/>
      <c r="AD103" s="265">
        <f>IFERROR(AVERAGEIF(DATOS!J:J,'AGOSTO 2023'!Y103,DATOS!DP:DP),0)</f>
        <v>0.26458333333333334</v>
      </c>
      <c r="AE103" s="30"/>
      <c r="AF103" s="283"/>
    </row>
    <row r="104" spans="2:32" ht="21" thickBot="1" x14ac:dyDescent="0.35">
      <c r="B104" s="283"/>
      <c r="C104" s="533"/>
      <c r="D104" s="533"/>
      <c r="E104" s="533"/>
      <c r="F104" s="533"/>
      <c r="G104" s="533"/>
      <c r="H104" s="533"/>
      <c r="I104" s="533"/>
      <c r="J104" s="533"/>
      <c r="K104" s="533"/>
      <c r="L104" s="533"/>
      <c r="M104" s="533"/>
      <c r="N104" s="533"/>
      <c r="O104" s="533"/>
      <c r="P104" s="533"/>
      <c r="Q104" s="283"/>
      <c r="R104" s="283"/>
      <c r="S104" s="283"/>
      <c r="T104" s="283"/>
      <c r="U104" s="283"/>
      <c r="V104" s="283"/>
      <c r="W104" s="283"/>
      <c r="X104" s="283"/>
      <c r="Y104" s="28"/>
      <c r="Z104" s="29"/>
      <c r="AA104" s="29"/>
      <c r="AB104" s="31"/>
      <c r="AC104" s="29"/>
      <c r="AD104" s="31"/>
      <c r="AE104" s="30"/>
      <c r="AF104" s="283"/>
    </row>
    <row r="105" spans="2:32" ht="21" thickBot="1" x14ac:dyDescent="0.35">
      <c r="B105" s="283"/>
      <c r="C105" s="533"/>
      <c r="D105" s="533"/>
      <c r="E105" s="533"/>
      <c r="F105" s="533"/>
      <c r="G105" s="533"/>
      <c r="H105" s="533"/>
      <c r="I105" s="533"/>
      <c r="J105" s="533"/>
      <c r="K105" s="533"/>
      <c r="L105" s="533"/>
      <c r="M105" s="533"/>
      <c r="N105" s="533"/>
      <c r="O105" s="533"/>
      <c r="P105" s="533"/>
      <c r="Q105" s="283"/>
      <c r="R105" s="283"/>
      <c r="S105" s="283"/>
      <c r="T105" s="283"/>
      <c r="U105" s="283"/>
      <c r="V105" s="283"/>
      <c r="W105" s="283"/>
      <c r="X105" s="283"/>
      <c r="Y105" s="28" t="s">
        <v>51</v>
      </c>
      <c r="Z105" s="29"/>
      <c r="AA105" s="29"/>
      <c r="AB105" s="264">
        <f>IF('FORMULAS%'!D109&lt;=1,'FORMULAS%'!D109,1)</f>
        <v>1</v>
      </c>
      <c r="AC105" s="29"/>
      <c r="AD105" s="265">
        <f>IFERROR(AVERAGEIF(DATOS!J:J,'AGOSTO 2023'!Y105,DATOS!DP:DP),0)</f>
        <v>0.53761904761904766</v>
      </c>
      <c r="AE105" s="30"/>
      <c r="AF105" s="283"/>
    </row>
    <row r="106" spans="2:32" ht="21" thickBot="1" x14ac:dyDescent="0.35">
      <c r="B106" s="283"/>
      <c r="C106" s="533"/>
      <c r="D106" s="533"/>
      <c r="E106" s="533"/>
      <c r="F106" s="533"/>
      <c r="G106" s="533"/>
      <c r="H106" s="533"/>
      <c r="I106" s="533"/>
      <c r="J106" s="533"/>
      <c r="K106" s="533"/>
      <c r="L106" s="533"/>
      <c r="M106" s="533"/>
      <c r="N106" s="533"/>
      <c r="O106" s="533"/>
      <c r="P106" s="533"/>
      <c r="Q106" s="283"/>
      <c r="R106" s="283"/>
      <c r="S106" s="283"/>
      <c r="T106" s="283"/>
      <c r="U106" s="283"/>
      <c r="V106" s="283"/>
      <c r="W106" s="283"/>
      <c r="X106" s="283"/>
      <c r="Y106" s="32"/>
      <c r="Z106" s="33"/>
      <c r="AA106" s="33"/>
      <c r="AB106" s="34"/>
      <c r="AC106" s="33"/>
      <c r="AD106" s="34"/>
      <c r="AE106" s="35"/>
      <c r="AF106" s="283"/>
    </row>
    <row r="107" spans="2:32" ht="21" thickBot="1" x14ac:dyDescent="0.35">
      <c r="B107" s="283"/>
      <c r="C107" s="533"/>
      <c r="D107" s="533"/>
      <c r="E107" s="533"/>
      <c r="F107" s="533"/>
      <c r="G107" s="533"/>
      <c r="H107" s="533"/>
      <c r="I107" s="533"/>
      <c r="J107" s="533"/>
      <c r="K107" s="533"/>
      <c r="L107" s="533"/>
      <c r="M107" s="533"/>
      <c r="N107" s="533"/>
      <c r="O107" s="533"/>
      <c r="P107" s="533"/>
      <c r="Q107" s="283"/>
      <c r="R107" s="283"/>
      <c r="S107" s="283"/>
      <c r="T107" s="283"/>
      <c r="U107" s="283"/>
      <c r="V107" s="283"/>
      <c r="W107" s="283"/>
      <c r="X107" s="283"/>
      <c r="Y107" s="8"/>
      <c r="Z107" s="245"/>
      <c r="AA107" s="9"/>
      <c r="AB107" s="23"/>
      <c r="AC107" s="9"/>
      <c r="AD107" s="23"/>
      <c r="AE107" s="2"/>
      <c r="AF107" s="283"/>
    </row>
    <row r="108" spans="2:32" ht="21" thickBot="1" x14ac:dyDescent="0.35">
      <c r="B108" s="283"/>
      <c r="C108" s="533"/>
      <c r="D108" s="533"/>
      <c r="E108" s="533"/>
      <c r="F108" s="533"/>
      <c r="G108" s="533"/>
      <c r="H108" s="533"/>
      <c r="I108" s="533"/>
      <c r="J108" s="533"/>
      <c r="K108" s="533"/>
      <c r="L108" s="533"/>
      <c r="M108" s="533"/>
      <c r="N108" s="533"/>
      <c r="O108" s="533"/>
      <c r="P108" s="533"/>
      <c r="Q108" s="283"/>
      <c r="R108" s="283"/>
      <c r="S108" s="283"/>
      <c r="T108" s="283"/>
      <c r="U108" s="283"/>
      <c r="V108" s="283"/>
      <c r="W108" s="283"/>
      <c r="X108" s="283"/>
      <c r="Y108" s="36"/>
      <c r="Z108" s="37"/>
      <c r="AA108" s="37"/>
      <c r="AB108" s="38"/>
      <c r="AC108" s="37"/>
      <c r="AD108" s="38"/>
      <c r="AE108" s="39"/>
      <c r="AF108" s="283"/>
    </row>
    <row r="109" spans="2:32" ht="21" thickBot="1" x14ac:dyDescent="0.35">
      <c r="B109" s="283"/>
      <c r="C109" s="533"/>
      <c r="D109" s="533"/>
      <c r="E109" s="533"/>
      <c r="F109" s="533"/>
      <c r="G109" s="533"/>
      <c r="H109" s="533"/>
      <c r="I109" s="533"/>
      <c r="J109" s="533"/>
      <c r="K109" s="533"/>
      <c r="L109" s="533"/>
      <c r="M109" s="533"/>
      <c r="N109" s="533"/>
      <c r="O109" s="533"/>
      <c r="P109" s="533"/>
      <c r="Q109" s="283"/>
      <c r="R109" s="283"/>
      <c r="S109" s="283"/>
      <c r="T109" s="283"/>
      <c r="U109" s="283"/>
      <c r="V109" s="283"/>
      <c r="W109" s="283"/>
      <c r="X109" s="283"/>
      <c r="Y109" s="40" t="s">
        <v>52</v>
      </c>
      <c r="Z109" s="41"/>
      <c r="AA109" s="41"/>
      <c r="AB109" s="264">
        <f>IF('FORMULAS%'!D113&lt;=1,'FORMULAS%'!D113,1)</f>
        <v>1</v>
      </c>
      <c r="AC109" s="41"/>
      <c r="AD109" s="265">
        <f>IFERROR(AVERAGEIF(DATOS!J:J,'AGOSTO 2023'!Y109,DATOS!DP:DP),0)</f>
        <v>0.41062037037037036</v>
      </c>
      <c r="AE109" s="42"/>
      <c r="AF109" s="283"/>
    </row>
    <row r="110" spans="2:32" ht="21" thickBot="1" x14ac:dyDescent="0.35">
      <c r="B110" s="283"/>
      <c r="C110" s="533"/>
      <c r="D110" s="533"/>
      <c r="E110" s="533"/>
      <c r="F110" s="533"/>
      <c r="G110" s="533"/>
      <c r="H110" s="533"/>
      <c r="I110" s="533"/>
      <c r="J110" s="533"/>
      <c r="K110" s="533"/>
      <c r="L110" s="533"/>
      <c r="M110" s="533"/>
      <c r="N110" s="533"/>
      <c r="O110" s="533"/>
      <c r="P110" s="533"/>
      <c r="Q110" s="283"/>
      <c r="R110" s="283"/>
      <c r="S110" s="283"/>
      <c r="T110" s="283"/>
      <c r="U110" s="283"/>
      <c r="V110" s="283"/>
      <c r="W110" s="283"/>
      <c r="X110" s="283"/>
      <c r="Y110" s="40"/>
      <c r="Z110" s="41"/>
      <c r="AA110" s="41"/>
      <c r="AB110" s="43"/>
      <c r="AC110" s="41"/>
      <c r="AD110" s="43"/>
      <c r="AE110" s="42"/>
      <c r="AF110" s="283"/>
    </row>
    <row r="111" spans="2:32" ht="21" thickBot="1" x14ac:dyDescent="0.35">
      <c r="B111" s="283"/>
      <c r="C111" s="533"/>
      <c r="D111" s="533"/>
      <c r="E111" s="533"/>
      <c r="F111" s="533"/>
      <c r="G111" s="533"/>
      <c r="H111" s="533"/>
      <c r="I111" s="533"/>
      <c r="J111" s="533"/>
      <c r="K111" s="533"/>
      <c r="L111" s="533"/>
      <c r="M111" s="533"/>
      <c r="N111" s="533"/>
      <c r="O111" s="533"/>
      <c r="P111" s="533"/>
      <c r="Q111" s="283"/>
      <c r="R111" s="283"/>
      <c r="S111" s="283"/>
      <c r="T111" s="283"/>
      <c r="U111" s="283"/>
      <c r="V111" s="283"/>
      <c r="W111" s="283"/>
      <c r="X111" s="283"/>
      <c r="Y111" s="40" t="s">
        <v>53</v>
      </c>
      <c r="Z111" s="41"/>
      <c r="AA111" s="41"/>
      <c r="AB111" s="264">
        <f>IF('FORMULAS%'!D115&lt;=1,'FORMULAS%'!D115,1)</f>
        <v>1</v>
      </c>
      <c r="AC111" s="41"/>
      <c r="AD111" s="265">
        <f>IFERROR(AVERAGEIF(DATOS!J:J,'AGOSTO 2023'!Y111,DATOS!DP:DP),0)</f>
        <v>0.5</v>
      </c>
      <c r="AE111" s="42"/>
      <c r="AF111" s="283"/>
    </row>
    <row r="112" spans="2:32" ht="21" thickBot="1" x14ac:dyDescent="0.35">
      <c r="B112" s="283"/>
      <c r="C112" s="533"/>
      <c r="D112" s="533"/>
      <c r="E112" s="533"/>
      <c r="F112" s="533"/>
      <c r="G112" s="533"/>
      <c r="H112" s="533"/>
      <c r="I112" s="533"/>
      <c r="J112" s="533"/>
      <c r="K112" s="533"/>
      <c r="L112" s="533"/>
      <c r="M112" s="533"/>
      <c r="N112" s="533"/>
      <c r="O112" s="533"/>
      <c r="P112" s="533"/>
      <c r="Q112" s="283"/>
      <c r="R112" s="283"/>
      <c r="S112" s="283"/>
      <c r="T112" s="283"/>
      <c r="U112" s="283"/>
      <c r="V112" s="283"/>
      <c r="W112" s="283"/>
      <c r="X112" s="283"/>
      <c r="Y112" s="44"/>
      <c r="Z112" s="45"/>
      <c r="AA112" s="45"/>
      <c r="AB112" s="46"/>
      <c r="AC112" s="45"/>
      <c r="AD112" s="46"/>
      <c r="AE112" s="47"/>
      <c r="AF112" s="283"/>
    </row>
    <row r="113" spans="2:32" x14ac:dyDescent="0.25">
      <c r="B113" s="283"/>
      <c r="C113" s="283"/>
      <c r="D113" s="283"/>
      <c r="E113" s="283"/>
      <c r="F113" s="283"/>
      <c r="G113" s="283"/>
      <c r="H113" s="283"/>
      <c r="I113" s="283"/>
      <c r="J113" s="283"/>
      <c r="K113" s="283"/>
      <c r="L113" s="283"/>
      <c r="M113" s="283"/>
      <c r="N113" s="283"/>
      <c r="O113" s="283"/>
      <c r="P113" s="283"/>
      <c r="Q113" s="283"/>
      <c r="R113" s="283"/>
      <c r="S113" s="283"/>
      <c r="T113" s="283"/>
      <c r="U113" s="283"/>
      <c r="V113" s="283"/>
      <c r="W113" s="283"/>
      <c r="X113" s="283"/>
      <c r="Y113" s="283"/>
      <c r="Z113" s="283"/>
      <c r="AA113" s="283"/>
      <c r="AB113" s="283"/>
      <c r="AC113" s="283"/>
      <c r="AD113" s="283"/>
      <c r="AE113" s="283"/>
      <c r="AF113" s="283"/>
    </row>
    <row r="114" spans="2:32" x14ac:dyDescent="0.25">
      <c r="B114" s="283"/>
      <c r="C114" s="283"/>
      <c r="D114" s="283"/>
      <c r="E114" s="283"/>
      <c r="F114" s="283"/>
      <c r="G114" s="283"/>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row>
  </sheetData>
  <mergeCells count="55">
    <mergeCell ref="H69:H70"/>
    <mergeCell ref="F65:F66"/>
    <mergeCell ref="G65:G66"/>
    <mergeCell ref="C79:D79"/>
    <mergeCell ref="F79:H79"/>
    <mergeCell ref="H71:H72"/>
    <mergeCell ref="F73:F74"/>
    <mergeCell ref="G73:G74"/>
    <mergeCell ref="H73:H74"/>
    <mergeCell ref="E75:F76"/>
    <mergeCell ref="F71:F72"/>
    <mergeCell ref="G71:G72"/>
    <mergeCell ref="N70:P70"/>
    <mergeCell ref="N74:P74"/>
    <mergeCell ref="C60:D61"/>
    <mergeCell ref="E60:F61"/>
    <mergeCell ref="G60:J60"/>
    <mergeCell ref="K60:M60"/>
    <mergeCell ref="N60:P60"/>
    <mergeCell ref="G61:J61"/>
    <mergeCell ref="K61:M61"/>
    <mergeCell ref="N61:P61"/>
    <mergeCell ref="H65:H66"/>
    <mergeCell ref="F67:F68"/>
    <mergeCell ref="G67:G68"/>
    <mergeCell ref="H67:H68"/>
    <mergeCell ref="F69:F70"/>
    <mergeCell ref="G69:G70"/>
    <mergeCell ref="G59:J59"/>
    <mergeCell ref="K59:M59"/>
    <mergeCell ref="N59:P59"/>
    <mergeCell ref="N65:P65"/>
    <mergeCell ref="N66:P66"/>
    <mergeCell ref="B1:N40"/>
    <mergeCell ref="O1:AF40"/>
    <mergeCell ref="C49:E49"/>
    <mergeCell ref="F49:P49"/>
    <mergeCell ref="C51:E51"/>
    <mergeCell ref="F51:P51"/>
    <mergeCell ref="C82:P112"/>
    <mergeCell ref="AE50:AF52"/>
    <mergeCell ref="AE54:AF56"/>
    <mergeCell ref="AE58:AF59"/>
    <mergeCell ref="AE60:AF60"/>
    <mergeCell ref="C53:E53"/>
    <mergeCell ref="F53:P53"/>
    <mergeCell ref="C54:E54"/>
    <mergeCell ref="F54:P54"/>
    <mergeCell ref="C55:E55"/>
    <mergeCell ref="F55:M55"/>
    <mergeCell ref="O55:P55"/>
    <mergeCell ref="C56:P56"/>
    <mergeCell ref="C57:E57"/>
    <mergeCell ref="C59:D59"/>
    <mergeCell ref="E59:F59"/>
  </mergeCells>
  <dataValidations count="11">
    <dataValidation allowBlank="1" showInputMessage="1" showErrorMessage="1" promptTitle="PROCESO" prompt="Identifica el nombre del proceso al cual pertenece el indicador." sqref="C53:E53 C49:E49" xr:uid="{FF8B4AAE-7533-4E35-B004-19207E6853D9}"/>
    <dataValidation allowBlank="1" showInputMessage="1" showErrorMessage="1" promptTitle="PRODUCTO/SERVICIO" prompt="Identifica el nombre del producto o servicio." sqref="C55:E55 N55 C57" xr:uid="{36A9BDA2-E081-4F3C-98D0-047A5430643B}"/>
    <dataValidation allowBlank="1" showInputMessage="1" showErrorMessage="1" promptTitle="NOMBRE DEL INDICADOR" prompt="Nombre que identifica al indicador." sqref="C50:E52 C54:E54" xr:uid="{B2BD3E09-1984-49AC-BE26-B3DBABEAE0E0}"/>
    <dataValidation allowBlank="1" showInputMessage="1" showErrorMessage="1" promptTitle="FORMULA DEL INDICADOR" prompt="Fórmula matemática utilizada para el cálculo del indicador._x000a_" sqref="C59:D59" xr:uid="{AFAC7BC3-9281-4B31-884E-BFEF651EDB7C}"/>
    <dataValidation allowBlank="1" showInputMessage="1" showErrorMessage="1" promptTitle="UNIDAD DE MEDIDA" prompt="Magnitud referencia para la medición. Ejemplo: Porcentaje, Número de asesorías." sqref="E59:F59" xr:uid="{3756CCE6-6A00-4575-B037-AF248AC670EF}"/>
    <dataValidation allowBlank="1" showInputMessage="1" showErrorMessage="1" promptTitle="NOMBRE VARIABLE" prompt="Nombre de las variables a utilizar, puede ser una sola_x000a_variable o dos dependiendo del indicador" sqref="G59:J59" xr:uid="{0AC33DEA-013E-4289-BAEB-B20C1A521025}"/>
    <dataValidation allowBlank="1" showInputMessage="1" showErrorMessage="1" promptTitle="EXPLICACION DE LA VARIABLE" prompt="Opcional si la variable requiere explicación o idefinición_x000a_" sqref="K59:M59" xr:uid="{A59CF6BA-A62A-4A9E-A4CD-7AF01A10CDC5}"/>
    <dataValidation allowBlank="1" showInputMessage="1" showErrorMessage="1" promptTitle="FUENTE DE INFORMACION" prompt="Señala la(s) fuente(s) de las cuales se obtiene la información para el cálculo del indicador. Por ejemplo: Sistemas de información,_x000a_resultados encuestas del cliente externo, interno, verificación del servicio y control de visitantes." sqref="N59:P59" xr:uid="{C6574157-E26D-46DC-8F4F-732CE3AD0B46}"/>
    <dataValidation allowBlank="1" showInputMessage="1" showErrorMessage="1" promptTitle="META" prompt="Es el valor que se espera alcance el indicador." sqref="F65 F67 F69 F71 F73 G75:H75" xr:uid="{7B901585-FCAC-469F-A233-65CF10F917C1}"/>
    <dataValidation type="list" allowBlank="1" showInputMessage="1" showErrorMessage="1" sqref="F79 AA65" xr:uid="{4FEB737F-5240-4660-A681-985A59D0FF26}">
      <formula1>"Enero, Febrero, Marzo, Abril, Mayo, Junio, Julio, Agosto, Septiembre, Octubre, Noviembre, Diciembre"</formula1>
    </dataValidation>
    <dataValidation type="list" allowBlank="1" showInputMessage="1" showErrorMessage="1" sqref="F51:P51" xr:uid="{50971018-6118-4153-8269-106AE771F8D6}">
      <formula1>INDIRECT(F49)</formula1>
    </dataValidation>
  </dataValidations>
  <pageMargins left="0.7" right="0.7" top="0.75" bottom="0.75" header="0.3" footer="0.3"/>
  <pageSetup orientation="portrait" r:id="rId1"/>
  <ignoredErrors>
    <ignoredError sqref="F53 F55" evalError="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58B3478-438B-49C2-8074-A6D899E2DA33}">
          <x14:formula1>
            <xm:f>'FORMULAS%'!$AB$1:$AM$1</xm:f>
          </x14:formula1>
          <xm:sqref>F49:P49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07B5F-D812-45CB-A131-794FE0638003}">
  <dimension ref="A1:AE40"/>
  <sheetViews>
    <sheetView showGridLines="0" zoomScale="40" zoomScaleNormal="40" workbookViewId="0">
      <selection activeCell="X47" sqref="X47"/>
    </sheetView>
  </sheetViews>
  <sheetFormatPr baseColWidth="10" defaultColWidth="11.42578125" defaultRowHeight="15" x14ac:dyDescent="0.25"/>
  <cols>
    <col min="7" max="7" width="26.42578125" customWidth="1"/>
    <col min="26" max="26" width="29.42578125" customWidth="1"/>
    <col min="27" max="28" width="23.42578125" customWidth="1"/>
    <col min="29" max="29" width="35" customWidth="1"/>
    <col min="30" max="30" width="23.42578125" customWidth="1"/>
    <col min="31" max="31" width="40.5703125" customWidth="1"/>
  </cols>
  <sheetData/>
  <mergeCells count="2">
    <mergeCell ref="A1:M40"/>
    <mergeCell ref="N1:AE40"/>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5481F-8DDF-4EC4-812D-88CE1CF9E8C5}">
  <dimension ref="B1:AF114"/>
  <sheetViews>
    <sheetView showGridLines="0" zoomScale="40" zoomScaleNormal="40" workbookViewId="0">
      <pane ySplit="1" topLeftCell="A2" activePane="bottomLeft" state="frozen"/>
      <selection pane="bottomLeft" activeCell="B1" sqref="B1:N40"/>
    </sheetView>
  </sheetViews>
  <sheetFormatPr baseColWidth="10" defaultColWidth="11.42578125" defaultRowHeight="15" x14ac:dyDescent="0.25"/>
  <cols>
    <col min="1" max="1" width="0.5703125" customWidth="1"/>
    <col min="7" max="7" width="21.5703125" customWidth="1"/>
    <col min="8" max="8" width="26.42578125" customWidth="1"/>
    <col min="12" max="12" width="13.5703125" customWidth="1"/>
    <col min="14" max="14" width="15.42578125" customWidth="1"/>
    <col min="25" max="25" width="75.5703125" customWidth="1"/>
    <col min="26" max="26" width="25.42578125" customWidth="1"/>
    <col min="27" max="27" width="20.42578125" customWidth="1"/>
    <col min="28" max="28" width="23.42578125" customWidth="1"/>
    <col min="29" max="29" width="11.140625" customWidth="1"/>
    <col min="30" max="30" width="29.140625" customWidth="1"/>
    <col min="31" max="31" width="12.42578125" customWidth="1"/>
    <col min="32" max="32" width="40.5703125" customWidth="1"/>
    <col min="36" max="36" width="14.42578125" bestFit="1" customWidth="1"/>
  </cols>
  <sheetData>
    <row r="1" spans="2:32" x14ac:dyDescent="0.25">
      <c r="B1" s="585"/>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row>
    <row r="2" spans="2:32" x14ac:dyDescent="0.25">
      <c r="B2" s="585"/>
      <c r="C2" s="585"/>
      <c r="D2" s="585"/>
      <c r="E2" s="585"/>
      <c r="F2" s="585"/>
      <c r="G2" s="585"/>
      <c r="H2" s="585"/>
      <c r="I2" s="585"/>
      <c r="J2" s="585"/>
      <c r="K2" s="585"/>
      <c r="L2" s="585"/>
      <c r="M2" s="585"/>
      <c r="N2" s="585"/>
      <c r="O2" s="585"/>
      <c r="P2" s="585"/>
      <c r="Q2" s="585"/>
      <c r="R2" s="585"/>
      <c r="S2" s="585"/>
      <c r="T2" s="585"/>
      <c r="U2" s="585"/>
      <c r="V2" s="585"/>
      <c r="W2" s="585"/>
      <c r="X2" s="585"/>
      <c r="Y2" s="585"/>
      <c r="Z2" s="585"/>
      <c r="AA2" s="585"/>
      <c r="AB2" s="585"/>
      <c r="AC2" s="585"/>
      <c r="AD2" s="585"/>
      <c r="AE2" s="585"/>
      <c r="AF2" s="585"/>
    </row>
    <row r="3" spans="2:32" x14ac:dyDescent="0.25">
      <c r="B3" s="585"/>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row>
    <row r="4" spans="2:32" x14ac:dyDescent="0.25">
      <c r="B4" s="585"/>
      <c r="C4" s="585"/>
      <c r="D4" s="585"/>
      <c r="E4" s="585"/>
      <c r="F4" s="585"/>
      <c r="G4" s="585"/>
      <c r="H4" s="585"/>
      <c r="I4" s="585"/>
      <c r="J4" s="585"/>
      <c r="K4" s="585"/>
      <c r="L4" s="585"/>
      <c r="M4" s="585"/>
      <c r="N4" s="585"/>
      <c r="O4" s="585"/>
      <c r="P4" s="585"/>
      <c r="Q4" s="585"/>
      <c r="R4" s="585"/>
      <c r="S4" s="585"/>
      <c r="T4" s="585"/>
      <c r="U4" s="585"/>
      <c r="V4" s="585"/>
      <c r="W4" s="585"/>
      <c r="X4" s="585"/>
      <c r="Y4" s="585"/>
      <c r="Z4" s="585"/>
      <c r="AA4" s="585"/>
      <c r="AB4" s="585"/>
      <c r="AC4" s="585"/>
      <c r="AD4" s="585"/>
      <c r="AE4" s="585"/>
      <c r="AF4" s="585"/>
    </row>
    <row r="5" spans="2:32" x14ac:dyDescent="0.25">
      <c r="B5" s="585"/>
      <c r="C5" s="585"/>
      <c r="D5" s="585"/>
      <c r="E5" s="585"/>
      <c r="F5" s="585"/>
      <c r="G5" s="585"/>
      <c r="H5" s="585"/>
      <c r="I5" s="585"/>
      <c r="J5" s="585"/>
      <c r="K5" s="585"/>
      <c r="L5" s="585"/>
      <c r="M5" s="585"/>
      <c r="N5" s="585"/>
      <c r="O5" s="585"/>
      <c r="P5" s="585"/>
      <c r="Q5" s="585"/>
      <c r="R5" s="585"/>
      <c r="S5" s="585"/>
      <c r="T5" s="585"/>
      <c r="U5" s="585"/>
      <c r="V5" s="585"/>
      <c r="W5" s="585"/>
      <c r="X5" s="585"/>
      <c r="Y5" s="585"/>
      <c r="Z5" s="585"/>
      <c r="AA5" s="585"/>
      <c r="AB5" s="585"/>
      <c r="AC5" s="585"/>
      <c r="AD5" s="585"/>
      <c r="AE5" s="585"/>
      <c r="AF5" s="585"/>
    </row>
    <row r="6" spans="2:32" x14ac:dyDescent="0.25">
      <c r="B6" s="585"/>
      <c r="C6" s="585"/>
      <c r="D6" s="585"/>
      <c r="E6" s="585"/>
      <c r="F6" s="585"/>
      <c r="G6" s="585"/>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row>
    <row r="7" spans="2:32" x14ac:dyDescent="0.25">
      <c r="B7" s="585"/>
      <c r="C7" s="585"/>
      <c r="D7" s="585"/>
      <c r="E7" s="585"/>
      <c r="F7" s="585"/>
      <c r="G7" s="585"/>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row>
    <row r="8" spans="2:32" x14ac:dyDescent="0.25">
      <c r="B8" s="585"/>
      <c r="C8" s="585"/>
      <c r="D8" s="585"/>
      <c r="E8" s="585"/>
      <c r="F8" s="585"/>
      <c r="G8" s="585"/>
      <c r="H8" s="585"/>
      <c r="I8" s="585"/>
      <c r="J8" s="585"/>
      <c r="K8" s="585"/>
      <c r="L8" s="585"/>
      <c r="M8" s="585"/>
      <c r="N8" s="585"/>
      <c r="O8" s="585"/>
      <c r="P8" s="585"/>
      <c r="Q8" s="585"/>
      <c r="R8" s="585"/>
      <c r="S8" s="585"/>
      <c r="T8" s="585"/>
      <c r="U8" s="585"/>
      <c r="V8" s="585"/>
      <c r="W8" s="585"/>
      <c r="X8" s="585"/>
      <c r="Y8" s="585"/>
      <c r="Z8" s="585"/>
      <c r="AA8" s="585"/>
      <c r="AB8" s="585"/>
      <c r="AC8" s="585"/>
      <c r="AD8" s="585"/>
      <c r="AE8" s="585"/>
      <c r="AF8" s="585"/>
    </row>
    <row r="9" spans="2:32" x14ac:dyDescent="0.25">
      <c r="B9" s="585"/>
      <c r="C9" s="585"/>
      <c r="D9" s="585"/>
      <c r="E9" s="585"/>
      <c r="F9" s="585"/>
      <c r="G9" s="585"/>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row>
    <row r="10" spans="2:32" x14ac:dyDescent="0.25">
      <c r="B10" s="585"/>
      <c r="C10" s="585"/>
      <c r="D10" s="585"/>
      <c r="E10" s="585"/>
      <c r="F10" s="585"/>
      <c r="G10" s="585"/>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row>
    <row r="11" spans="2:32" x14ac:dyDescent="0.25">
      <c r="B11" s="585"/>
      <c r="C11" s="585"/>
      <c r="D11" s="585"/>
      <c r="E11" s="585"/>
      <c r="F11" s="585"/>
      <c r="G11" s="585"/>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row>
    <row r="12" spans="2:32" x14ac:dyDescent="0.25">
      <c r="B12" s="585"/>
      <c r="C12" s="585"/>
      <c r="D12" s="585"/>
      <c r="E12" s="585"/>
      <c r="F12" s="585"/>
      <c r="G12" s="585"/>
      <c r="H12" s="585"/>
      <c r="I12" s="585"/>
      <c r="J12" s="585"/>
      <c r="K12" s="585"/>
      <c r="L12" s="585"/>
      <c r="M12" s="585"/>
      <c r="N12" s="585"/>
      <c r="O12" s="585"/>
      <c r="P12" s="585"/>
      <c r="Q12" s="585"/>
      <c r="R12" s="585"/>
      <c r="S12" s="585"/>
      <c r="T12" s="585"/>
      <c r="U12" s="585"/>
      <c r="V12" s="585"/>
      <c r="W12" s="585"/>
      <c r="X12" s="585"/>
      <c r="Y12" s="585"/>
      <c r="Z12" s="585"/>
      <c r="AA12" s="585"/>
      <c r="AB12" s="585"/>
      <c r="AC12" s="585"/>
      <c r="AD12" s="585"/>
      <c r="AE12" s="585"/>
      <c r="AF12" s="585"/>
    </row>
    <row r="13" spans="2:32" x14ac:dyDescent="0.25">
      <c r="B13" s="585"/>
      <c r="C13" s="585"/>
      <c r="D13" s="585"/>
      <c r="E13" s="585"/>
      <c r="F13" s="585"/>
      <c r="G13" s="585"/>
      <c r="H13" s="585"/>
      <c r="I13" s="585"/>
      <c r="J13" s="585"/>
      <c r="K13" s="585"/>
      <c r="L13" s="585"/>
      <c r="M13" s="585"/>
      <c r="N13" s="585"/>
      <c r="O13" s="585"/>
      <c r="P13" s="585"/>
      <c r="Q13" s="585"/>
      <c r="R13" s="585"/>
      <c r="S13" s="585"/>
      <c r="T13" s="585"/>
      <c r="U13" s="585"/>
      <c r="V13" s="585"/>
      <c r="W13" s="585"/>
      <c r="X13" s="585"/>
      <c r="Y13" s="585"/>
      <c r="Z13" s="585"/>
      <c r="AA13" s="585"/>
      <c r="AB13" s="585"/>
      <c r="AC13" s="585"/>
      <c r="AD13" s="585"/>
      <c r="AE13" s="585"/>
      <c r="AF13" s="585"/>
    </row>
    <row r="14" spans="2:32" x14ac:dyDescent="0.25">
      <c r="B14" s="585"/>
      <c r="C14" s="585"/>
      <c r="D14" s="585"/>
      <c r="E14" s="585"/>
      <c r="F14" s="585"/>
      <c r="G14" s="585"/>
      <c r="H14" s="585"/>
      <c r="I14" s="585"/>
      <c r="J14" s="585"/>
      <c r="K14" s="585"/>
      <c r="L14" s="585"/>
      <c r="M14" s="585"/>
      <c r="N14" s="585"/>
      <c r="O14" s="585"/>
      <c r="P14" s="585"/>
      <c r="Q14" s="585"/>
      <c r="R14" s="585"/>
      <c r="S14" s="585"/>
      <c r="T14" s="585"/>
      <c r="U14" s="585"/>
      <c r="V14" s="585"/>
      <c r="W14" s="585"/>
      <c r="X14" s="585"/>
      <c r="Y14" s="585"/>
      <c r="Z14" s="585"/>
      <c r="AA14" s="585"/>
      <c r="AB14" s="585"/>
      <c r="AC14" s="585"/>
      <c r="AD14" s="585"/>
      <c r="AE14" s="585"/>
      <c r="AF14" s="585"/>
    </row>
    <row r="15" spans="2:32" x14ac:dyDescent="0.25">
      <c r="B15" s="585"/>
      <c r="C15" s="585"/>
      <c r="D15" s="585"/>
      <c r="E15" s="585"/>
      <c r="F15" s="585"/>
      <c r="G15" s="585"/>
      <c r="H15" s="585"/>
      <c r="I15" s="585"/>
      <c r="J15" s="585"/>
      <c r="K15" s="585"/>
      <c r="L15" s="585"/>
      <c r="M15" s="585"/>
      <c r="N15" s="585"/>
      <c r="O15" s="585"/>
      <c r="P15" s="585"/>
      <c r="Q15" s="585"/>
      <c r="R15" s="585"/>
      <c r="S15" s="585"/>
      <c r="T15" s="585"/>
      <c r="U15" s="585"/>
      <c r="V15" s="585"/>
      <c r="W15" s="585"/>
      <c r="X15" s="585"/>
      <c r="Y15" s="585"/>
      <c r="Z15" s="585"/>
      <c r="AA15" s="585"/>
      <c r="AB15" s="585"/>
      <c r="AC15" s="585"/>
      <c r="AD15" s="585"/>
      <c r="AE15" s="585"/>
      <c r="AF15" s="585"/>
    </row>
    <row r="16" spans="2:32" x14ac:dyDescent="0.25">
      <c r="B16" s="585"/>
      <c r="C16" s="585"/>
      <c r="D16" s="585"/>
      <c r="E16" s="585"/>
      <c r="F16" s="585"/>
      <c r="G16" s="585"/>
      <c r="H16" s="585"/>
      <c r="I16" s="585"/>
      <c r="J16" s="585"/>
      <c r="K16" s="585"/>
      <c r="L16" s="585"/>
      <c r="M16" s="585"/>
      <c r="N16" s="585"/>
      <c r="O16" s="585"/>
      <c r="P16" s="585"/>
      <c r="Q16" s="585"/>
      <c r="R16" s="585"/>
      <c r="S16" s="585"/>
      <c r="T16" s="585"/>
      <c r="U16" s="585"/>
      <c r="V16" s="585"/>
      <c r="W16" s="585"/>
      <c r="X16" s="585"/>
      <c r="Y16" s="585"/>
      <c r="Z16" s="585"/>
      <c r="AA16" s="585"/>
      <c r="AB16" s="585"/>
      <c r="AC16" s="585"/>
      <c r="AD16" s="585"/>
      <c r="AE16" s="585"/>
      <c r="AF16" s="585"/>
    </row>
    <row r="17" spans="2:32" x14ac:dyDescent="0.25">
      <c r="B17" s="585"/>
      <c r="C17" s="585"/>
      <c r="D17" s="585"/>
      <c r="E17" s="585"/>
      <c r="F17" s="585"/>
      <c r="G17" s="585"/>
      <c r="H17" s="585"/>
      <c r="I17" s="585"/>
      <c r="J17" s="585"/>
      <c r="K17" s="585"/>
      <c r="L17" s="585"/>
      <c r="M17" s="585"/>
      <c r="N17" s="585"/>
      <c r="O17" s="585"/>
      <c r="P17" s="585"/>
      <c r="Q17" s="585"/>
      <c r="R17" s="585"/>
      <c r="S17" s="585"/>
      <c r="T17" s="585"/>
      <c r="U17" s="585"/>
      <c r="V17" s="585"/>
      <c r="W17" s="585"/>
      <c r="X17" s="585"/>
      <c r="Y17" s="585"/>
      <c r="Z17" s="585"/>
      <c r="AA17" s="585"/>
      <c r="AB17" s="585"/>
      <c r="AC17" s="585"/>
      <c r="AD17" s="585"/>
      <c r="AE17" s="585"/>
      <c r="AF17" s="585"/>
    </row>
    <row r="18" spans="2:32" x14ac:dyDescent="0.25">
      <c r="B18" s="585"/>
      <c r="C18" s="585"/>
      <c r="D18" s="585"/>
      <c r="E18" s="585"/>
      <c r="F18" s="585"/>
      <c r="G18" s="585"/>
      <c r="H18" s="585"/>
      <c r="I18" s="585"/>
      <c r="J18" s="585"/>
      <c r="K18" s="585"/>
      <c r="L18" s="585"/>
      <c r="M18" s="585"/>
      <c r="N18" s="585"/>
      <c r="O18" s="585"/>
      <c r="P18" s="585"/>
      <c r="Q18" s="585"/>
      <c r="R18" s="585"/>
      <c r="S18" s="585"/>
      <c r="T18" s="585"/>
      <c r="U18" s="585"/>
      <c r="V18" s="585"/>
      <c r="W18" s="585"/>
      <c r="X18" s="585"/>
      <c r="Y18" s="585"/>
      <c r="Z18" s="585"/>
      <c r="AA18" s="585"/>
      <c r="AB18" s="585"/>
      <c r="AC18" s="585"/>
      <c r="AD18" s="585"/>
      <c r="AE18" s="585"/>
      <c r="AF18" s="585"/>
    </row>
    <row r="19" spans="2:32" x14ac:dyDescent="0.25">
      <c r="B19" s="585"/>
      <c r="C19" s="585"/>
      <c r="D19" s="585"/>
      <c r="E19" s="585"/>
      <c r="F19" s="585"/>
      <c r="G19" s="585"/>
      <c r="H19" s="585"/>
      <c r="I19" s="585"/>
      <c r="J19" s="585"/>
      <c r="K19" s="585"/>
      <c r="L19" s="585"/>
      <c r="M19" s="585"/>
      <c r="N19" s="585"/>
      <c r="O19" s="585"/>
      <c r="P19" s="585"/>
      <c r="Q19" s="585"/>
      <c r="R19" s="585"/>
      <c r="S19" s="585"/>
      <c r="T19" s="585"/>
      <c r="U19" s="585"/>
      <c r="V19" s="585"/>
      <c r="W19" s="585"/>
      <c r="X19" s="585"/>
      <c r="Y19" s="585"/>
      <c r="Z19" s="585"/>
      <c r="AA19" s="585"/>
      <c r="AB19" s="585"/>
      <c r="AC19" s="585"/>
      <c r="AD19" s="585"/>
      <c r="AE19" s="585"/>
      <c r="AF19" s="585"/>
    </row>
    <row r="20" spans="2:32" x14ac:dyDescent="0.25">
      <c r="B20" s="585"/>
      <c r="C20" s="585"/>
      <c r="D20" s="585"/>
      <c r="E20" s="585"/>
      <c r="F20" s="585"/>
      <c r="G20" s="585"/>
      <c r="H20" s="585"/>
      <c r="I20" s="585"/>
      <c r="J20" s="585"/>
      <c r="K20" s="585"/>
      <c r="L20" s="585"/>
      <c r="M20" s="585"/>
      <c r="N20" s="585"/>
      <c r="O20" s="585"/>
      <c r="P20" s="585"/>
      <c r="Q20" s="585"/>
      <c r="R20" s="585"/>
      <c r="S20" s="585"/>
      <c r="T20" s="585"/>
      <c r="U20" s="585"/>
      <c r="V20" s="585"/>
      <c r="W20" s="585"/>
      <c r="X20" s="585"/>
      <c r="Y20" s="585"/>
      <c r="Z20" s="585"/>
      <c r="AA20" s="585"/>
      <c r="AB20" s="585"/>
      <c r="AC20" s="585"/>
      <c r="AD20" s="585"/>
      <c r="AE20" s="585"/>
      <c r="AF20" s="585"/>
    </row>
    <row r="21" spans="2:32" x14ac:dyDescent="0.25">
      <c r="B21" s="585"/>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row>
    <row r="22" spans="2:32" x14ac:dyDescent="0.25">
      <c r="B22" s="585"/>
      <c r="C22" s="585"/>
      <c r="D22" s="585"/>
      <c r="E22" s="585"/>
      <c r="F22" s="585"/>
      <c r="G22" s="585"/>
      <c r="H22" s="585"/>
      <c r="I22" s="585"/>
      <c r="J22" s="585"/>
      <c r="K22" s="585"/>
      <c r="L22" s="585"/>
      <c r="M22" s="585"/>
      <c r="N22" s="585"/>
      <c r="O22" s="585"/>
      <c r="P22" s="585"/>
      <c r="Q22" s="585"/>
      <c r="R22" s="585"/>
      <c r="S22" s="585"/>
      <c r="T22" s="585"/>
      <c r="U22" s="585"/>
      <c r="V22" s="585"/>
      <c r="W22" s="585"/>
      <c r="X22" s="585"/>
      <c r="Y22" s="585"/>
      <c r="Z22" s="585"/>
      <c r="AA22" s="585"/>
      <c r="AB22" s="585"/>
      <c r="AC22" s="585"/>
      <c r="AD22" s="585"/>
      <c r="AE22" s="585"/>
      <c r="AF22" s="585"/>
    </row>
    <row r="23" spans="2:32" x14ac:dyDescent="0.25">
      <c r="B23" s="585"/>
      <c r="C23" s="585"/>
      <c r="D23" s="585"/>
      <c r="E23" s="585"/>
      <c r="F23" s="585"/>
      <c r="G23" s="585"/>
      <c r="H23" s="585"/>
      <c r="I23" s="585"/>
      <c r="J23" s="585"/>
      <c r="K23" s="585"/>
      <c r="L23" s="585"/>
      <c r="M23" s="585"/>
      <c r="N23" s="585"/>
      <c r="O23" s="585"/>
      <c r="P23" s="585"/>
      <c r="Q23" s="585"/>
      <c r="R23" s="585"/>
      <c r="S23" s="585"/>
      <c r="T23" s="585"/>
      <c r="U23" s="585"/>
      <c r="V23" s="585"/>
      <c r="W23" s="585"/>
      <c r="X23" s="585"/>
      <c r="Y23" s="585"/>
      <c r="Z23" s="585"/>
      <c r="AA23" s="585"/>
      <c r="AB23" s="585"/>
      <c r="AC23" s="585"/>
      <c r="AD23" s="585"/>
      <c r="AE23" s="585"/>
      <c r="AF23" s="585"/>
    </row>
    <row r="24" spans="2:32" x14ac:dyDescent="0.25">
      <c r="B24" s="585"/>
      <c r="C24" s="585"/>
      <c r="D24" s="585"/>
      <c r="E24" s="585"/>
      <c r="F24" s="585"/>
      <c r="G24" s="585"/>
      <c r="H24" s="585"/>
      <c r="I24" s="585"/>
      <c r="J24" s="585"/>
      <c r="K24" s="585"/>
      <c r="L24" s="585"/>
      <c r="M24" s="585"/>
      <c r="N24" s="585"/>
      <c r="O24" s="585"/>
      <c r="P24" s="585"/>
      <c r="Q24" s="585"/>
      <c r="R24" s="585"/>
      <c r="S24" s="585"/>
      <c r="T24" s="585"/>
      <c r="U24" s="585"/>
      <c r="V24" s="585"/>
      <c r="W24" s="585"/>
      <c r="X24" s="585"/>
      <c r="Y24" s="585"/>
      <c r="Z24" s="585"/>
      <c r="AA24" s="585"/>
      <c r="AB24" s="585"/>
      <c r="AC24" s="585"/>
      <c r="AD24" s="585"/>
      <c r="AE24" s="585"/>
      <c r="AF24" s="585"/>
    </row>
    <row r="25" spans="2:32" ht="43.35" customHeight="1" x14ac:dyDescent="0.25">
      <c r="B25" s="585"/>
      <c r="C25" s="585"/>
      <c r="D25" s="585"/>
      <c r="E25" s="585"/>
      <c r="F25" s="585"/>
      <c r="G25" s="585"/>
      <c r="H25" s="585"/>
      <c r="I25" s="585"/>
      <c r="J25" s="585"/>
      <c r="K25" s="585"/>
      <c r="L25" s="585"/>
      <c r="M25" s="585"/>
      <c r="N25" s="585"/>
      <c r="O25" s="585"/>
      <c r="P25" s="585"/>
      <c r="Q25" s="585"/>
      <c r="R25" s="585"/>
      <c r="S25" s="585"/>
      <c r="T25" s="585"/>
      <c r="U25" s="585"/>
      <c r="V25" s="585"/>
      <c r="W25" s="585"/>
      <c r="X25" s="585"/>
      <c r="Y25" s="585"/>
      <c r="Z25" s="585"/>
      <c r="AA25" s="585"/>
      <c r="AB25" s="585"/>
      <c r="AC25" s="585"/>
      <c r="AD25" s="585"/>
      <c r="AE25" s="585"/>
      <c r="AF25" s="585"/>
    </row>
    <row r="26" spans="2:32" ht="43.35" customHeight="1" x14ac:dyDescent="0.25">
      <c r="B26" s="585"/>
      <c r="C26" s="585"/>
      <c r="D26" s="585"/>
      <c r="E26" s="585"/>
      <c r="F26" s="585"/>
      <c r="G26" s="585"/>
      <c r="H26" s="585"/>
      <c r="I26" s="585"/>
      <c r="J26" s="585"/>
      <c r="K26" s="585"/>
      <c r="L26" s="585"/>
      <c r="M26" s="585"/>
      <c r="N26" s="585"/>
      <c r="O26" s="585"/>
      <c r="P26" s="585"/>
      <c r="Q26" s="585"/>
      <c r="R26" s="585"/>
      <c r="S26" s="585"/>
      <c r="T26" s="585"/>
      <c r="U26" s="585"/>
      <c r="V26" s="585"/>
      <c r="W26" s="585"/>
      <c r="X26" s="585"/>
      <c r="Y26" s="585"/>
      <c r="Z26" s="585"/>
      <c r="AA26" s="585"/>
      <c r="AB26" s="585"/>
      <c r="AC26" s="585"/>
      <c r="AD26" s="585"/>
      <c r="AE26" s="585"/>
      <c r="AF26" s="585"/>
    </row>
    <row r="27" spans="2:32" ht="43.35" customHeight="1" x14ac:dyDescent="0.25">
      <c r="B27" s="585"/>
      <c r="C27" s="585"/>
      <c r="D27" s="585"/>
      <c r="E27" s="585"/>
      <c r="F27" s="585"/>
      <c r="G27" s="585"/>
      <c r="H27" s="585"/>
      <c r="I27" s="585"/>
      <c r="J27" s="585"/>
      <c r="K27" s="585"/>
      <c r="L27" s="585"/>
      <c r="M27" s="585"/>
      <c r="N27" s="585"/>
      <c r="O27" s="585"/>
      <c r="P27" s="585"/>
      <c r="Q27" s="585"/>
      <c r="R27" s="585"/>
      <c r="S27" s="585"/>
      <c r="T27" s="585"/>
      <c r="U27" s="585"/>
      <c r="V27" s="585"/>
      <c r="W27" s="585"/>
      <c r="X27" s="585"/>
      <c r="Y27" s="585"/>
      <c r="Z27" s="585"/>
      <c r="AA27" s="585"/>
      <c r="AB27" s="585"/>
      <c r="AC27" s="585"/>
      <c r="AD27" s="585"/>
      <c r="AE27" s="585"/>
      <c r="AF27" s="585"/>
    </row>
    <row r="28" spans="2:32" x14ac:dyDescent="0.25">
      <c r="B28" s="585"/>
      <c r="C28" s="585"/>
      <c r="D28" s="585"/>
      <c r="E28" s="585"/>
      <c r="F28" s="585"/>
      <c r="G28" s="585"/>
      <c r="H28" s="585"/>
      <c r="I28" s="585"/>
      <c r="J28" s="585"/>
      <c r="K28" s="585"/>
      <c r="L28" s="585"/>
      <c r="M28" s="585"/>
      <c r="N28" s="585"/>
      <c r="O28" s="585"/>
      <c r="P28" s="585"/>
      <c r="Q28" s="585"/>
      <c r="R28" s="585"/>
      <c r="S28" s="585"/>
      <c r="T28" s="585"/>
      <c r="U28" s="585"/>
      <c r="V28" s="585"/>
      <c r="W28" s="585"/>
      <c r="X28" s="585"/>
      <c r="Y28" s="585"/>
      <c r="Z28" s="585"/>
      <c r="AA28" s="585"/>
      <c r="AB28" s="585"/>
      <c r="AC28" s="585"/>
      <c r="AD28" s="585"/>
      <c r="AE28" s="585"/>
      <c r="AF28" s="585"/>
    </row>
    <row r="29" spans="2:32" ht="42" customHeight="1" x14ac:dyDescent="0.25">
      <c r="B29" s="585"/>
      <c r="C29" s="585"/>
      <c r="D29" s="585"/>
      <c r="E29" s="585"/>
      <c r="F29" s="585"/>
      <c r="G29" s="585"/>
      <c r="H29" s="585"/>
      <c r="I29" s="585"/>
      <c r="J29" s="585"/>
      <c r="K29" s="585"/>
      <c r="L29" s="585"/>
      <c r="M29" s="585"/>
      <c r="N29" s="585"/>
      <c r="O29" s="585"/>
      <c r="P29" s="585"/>
      <c r="Q29" s="585"/>
      <c r="R29" s="585"/>
      <c r="S29" s="585"/>
      <c r="T29" s="585"/>
      <c r="U29" s="585"/>
      <c r="V29" s="585"/>
      <c r="W29" s="585"/>
      <c r="X29" s="585"/>
      <c r="Y29" s="585"/>
      <c r="Z29" s="585"/>
      <c r="AA29" s="585"/>
      <c r="AB29" s="585"/>
      <c r="AC29" s="585"/>
      <c r="AD29" s="585"/>
      <c r="AE29" s="585"/>
      <c r="AF29" s="585"/>
    </row>
    <row r="30" spans="2:32" x14ac:dyDescent="0.25">
      <c r="B30" s="585"/>
      <c r="C30" s="585"/>
      <c r="D30" s="585"/>
      <c r="E30" s="585"/>
      <c r="F30" s="585"/>
      <c r="G30" s="585"/>
      <c r="H30" s="585"/>
      <c r="I30" s="585"/>
      <c r="J30" s="585"/>
      <c r="K30" s="585"/>
      <c r="L30" s="585"/>
      <c r="M30" s="585"/>
      <c r="N30" s="585"/>
      <c r="O30" s="585"/>
      <c r="P30" s="585"/>
      <c r="Q30" s="585"/>
      <c r="R30" s="585"/>
      <c r="S30" s="585"/>
      <c r="T30" s="585"/>
      <c r="U30" s="585"/>
      <c r="V30" s="585"/>
      <c r="W30" s="585"/>
      <c r="X30" s="585"/>
      <c r="Y30" s="585"/>
      <c r="Z30" s="585"/>
      <c r="AA30" s="585"/>
      <c r="AB30" s="585"/>
      <c r="AC30" s="585"/>
      <c r="AD30" s="585"/>
      <c r="AE30" s="585"/>
      <c r="AF30" s="585"/>
    </row>
    <row r="31" spans="2:32" x14ac:dyDescent="0.25">
      <c r="B31" s="585"/>
      <c r="C31" s="585"/>
      <c r="D31" s="585"/>
      <c r="E31" s="585"/>
      <c r="F31" s="585"/>
      <c r="G31" s="585"/>
      <c r="H31" s="585"/>
      <c r="I31" s="585"/>
      <c r="J31" s="585"/>
      <c r="K31" s="585"/>
      <c r="L31" s="585"/>
      <c r="M31" s="585"/>
      <c r="N31" s="585"/>
      <c r="O31" s="585"/>
      <c r="P31" s="585"/>
      <c r="Q31" s="585"/>
      <c r="R31" s="585"/>
      <c r="S31" s="585"/>
      <c r="T31" s="585"/>
      <c r="U31" s="585"/>
      <c r="V31" s="585"/>
      <c r="W31" s="585"/>
      <c r="X31" s="585"/>
      <c r="Y31" s="585"/>
      <c r="Z31" s="585"/>
      <c r="AA31" s="585"/>
      <c r="AB31" s="585"/>
      <c r="AC31" s="585"/>
      <c r="AD31" s="585"/>
      <c r="AE31" s="585"/>
      <c r="AF31" s="585"/>
    </row>
    <row r="32" spans="2:32" x14ac:dyDescent="0.25">
      <c r="B32" s="585"/>
      <c r="C32" s="585"/>
      <c r="D32" s="585"/>
      <c r="E32" s="585"/>
      <c r="F32" s="585"/>
      <c r="G32" s="585"/>
      <c r="H32" s="585"/>
      <c r="I32" s="585"/>
      <c r="J32" s="585"/>
      <c r="K32" s="585"/>
      <c r="L32" s="585"/>
      <c r="M32" s="585"/>
      <c r="N32" s="585"/>
      <c r="O32" s="585"/>
      <c r="P32" s="585"/>
      <c r="Q32" s="585"/>
      <c r="R32" s="585"/>
      <c r="S32" s="585"/>
      <c r="T32" s="585"/>
      <c r="U32" s="585"/>
      <c r="V32" s="585"/>
      <c r="W32" s="585"/>
      <c r="X32" s="585"/>
      <c r="Y32" s="585"/>
      <c r="Z32" s="585"/>
      <c r="AA32" s="585"/>
      <c r="AB32" s="585"/>
      <c r="AC32" s="585"/>
      <c r="AD32" s="585"/>
      <c r="AE32" s="585"/>
      <c r="AF32" s="585"/>
    </row>
    <row r="33" spans="2:32" ht="54" customHeight="1" x14ac:dyDescent="0.25">
      <c r="B33" s="585"/>
      <c r="C33" s="585"/>
      <c r="D33" s="585"/>
      <c r="E33" s="585"/>
      <c r="F33" s="585"/>
      <c r="G33" s="585"/>
      <c r="H33" s="585"/>
      <c r="I33" s="585"/>
      <c r="J33" s="585"/>
      <c r="K33" s="585"/>
      <c r="L33" s="585"/>
      <c r="M33" s="585"/>
      <c r="N33" s="585"/>
      <c r="O33" s="585"/>
      <c r="P33" s="585"/>
      <c r="Q33" s="585"/>
      <c r="R33" s="585"/>
      <c r="S33" s="585"/>
      <c r="T33" s="585"/>
      <c r="U33" s="585"/>
      <c r="V33" s="585"/>
      <c r="W33" s="585"/>
      <c r="X33" s="585"/>
      <c r="Y33" s="585"/>
      <c r="Z33" s="585"/>
      <c r="AA33" s="585"/>
      <c r="AB33" s="585"/>
      <c r="AC33" s="585"/>
      <c r="AD33" s="585"/>
      <c r="AE33" s="585"/>
      <c r="AF33" s="585"/>
    </row>
    <row r="34" spans="2:32" ht="125.1" customHeight="1" x14ac:dyDescent="0.25">
      <c r="B34" s="585"/>
      <c r="C34" s="585"/>
      <c r="D34" s="585"/>
      <c r="E34" s="585"/>
      <c r="F34" s="585"/>
      <c r="G34" s="585"/>
      <c r="H34" s="585"/>
      <c r="I34" s="585"/>
      <c r="J34" s="585"/>
      <c r="K34" s="585"/>
      <c r="L34" s="585"/>
      <c r="M34" s="585"/>
      <c r="N34" s="585"/>
      <c r="O34" s="585"/>
      <c r="P34" s="585"/>
      <c r="Q34" s="585"/>
      <c r="R34" s="585"/>
      <c r="S34" s="585"/>
      <c r="T34" s="585"/>
      <c r="U34" s="585"/>
      <c r="V34" s="585"/>
      <c r="W34" s="585"/>
      <c r="X34" s="585"/>
      <c r="Y34" s="585"/>
      <c r="Z34" s="585"/>
      <c r="AA34" s="585"/>
      <c r="AB34" s="585"/>
      <c r="AC34" s="585"/>
      <c r="AD34" s="585"/>
      <c r="AE34" s="585"/>
      <c r="AF34" s="585"/>
    </row>
    <row r="35" spans="2:32" ht="53.1" customHeight="1" x14ac:dyDescent="0.25">
      <c r="B35" s="585"/>
      <c r="C35" s="585"/>
      <c r="D35" s="585"/>
      <c r="E35" s="585"/>
      <c r="F35" s="585"/>
      <c r="G35" s="585"/>
      <c r="H35" s="585"/>
      <c r="I35" s="585"/>
      <c r="J35" s="585"/>
      <c r="K35" s="585"/>
      <c r="L35" s="585"/>
      <c r="M35" s="585"/>
      <c r="N35" s="585"/>
      <c r="O35" s="585"/>
      <c r="P35" s="585"/>
      <c r="Q35" s="585"/>
      <c r="R35" s="585"/>
      <c r="S35" s="585"/>
      <c r="T35" s="585"/>
      <c r="U35" s="585"/>
      <c r="V35" s="585"/>
      <c r="W35" s="585"/>
      <c r="X35" s="585"/>
      <c r="Y35" s="585"/>
      <c r="Z35" s="585"/>
      <c r="AA35" s="585"/>
      <c r="AB35" s="585"/>
      <c r="AC35" s="585"/>
      <c r="AD35" s="585"/>
      <c r="AE35" s="585"/>
      <c r="AF35" s="585"/>
    </row>
    <row r="36" spans="2:32" ht="53.1" customHeight="1" x14ac:dyDescent="0.25">
      <c r="B36" s="585"/>
      <c r="C36" s="585"/>
      <c r="D36" s="585"/>
      <c r="E36" s="585"/>
      <c r="F36" s="585"/>
      <c r="G36" s="585"/>
      <c r="H36" s="585"/>
      <c r="I36" s="585"/>
      <c r="J36" s="585"/>
      <c r="K36" s="585"/>
      <c r="L36" s="585"/>
      <c r="M36" s="585"/>
      <c r="N36" s="585"/>
      <c r="O36" s="585"/>
      <c r="P36" s="585"/>
      <c r="Q36" s="585"/>
      <c r="R36" s="585"/>
      <c r="S36" s="585"/>
      <c r="T36" s="585"/>
      <c r="U36" s="585"/>
      <c r="V36" s="585"/>
      <c r="W36" s="585"/>
      <c r="X36" s="585"/>
      <c r="Y36" s="585"/>
      <c r="Z36" s="585"/>
      <c r="AA36" s="585"/>
      <c r="AB36" s="585"/>
      <c r="AC36" s="585"/>
      <c r="AD36" s="585"/>
      <c r="AE36" s="585"/>
      <c r="AF36" s="585"/>
    </row>
    <row r="37" spans="2:32" x14ac:dyDescent="0.25">
      <c r="B37" s="585"/>
      <c r="C37" s="585"/>
      <c r="D37" s="585"/>
      <c r="E37" s="585"/>
      <c r="F37" s="585"/>
      <c r="G37" s="585"/>
      <c r="H37" s="585"/>
      <c r="I37" s="585"/>
      <c r="J37" s="585"/>
      <c r="K37" s="585"/>
      <c r="L37" s="585"/>
      <c r="M37" s="585"/>
      <c r="N37" s="585"/>
      <c r="O37" s="585"/>
      <c r="P37" s="585"/>
      <c r="Q37" s="585"/>
      <c r="R37" s="585"/>
      <c r="S37" s="585"/>
      <c r="T37" s="585"/>
      <c r="U37" s="585"/>
      <c r="V37" s="585"/>
      <c r="W37" s="585"/>
      <c r="X37" s="585"/>
      <c r="Y37" s="585"/>
      <c r="Z37" s="585"/>
      <c r="AA37" s="585"/>
      <c r="AB37" s="585"/>
      <c r="AC37" s="585"/>
      <c r="AD37" s="585"/>
      <c r="AE37" s="585"/>
      <c r="AF37" s="585"/>
    </row>
    <row r="38" spans="2:32" x14ac:dyDescent="0.25">
      <c r="B38" s="585"/>
      <c r="C38" s="585"/>
      <c r="D38" s="585"/>
      <c r="E38" s="585"/>
      <c r="F38" s="585"/>
      <c r="G38" s="585"/>
      <c r="H38" s="585"/>
      <c r="I38" s="585"/>
      <c r="J38" s="585"/>
      <c r="K38" s="585"/>
      <c r="L38" s="585"/>
      <c r="M38" s="585"/>
      <c r="N38" s="585"/>
      <c r="O38" s="585"/>
      <c r="P38" s="585"/>
      <c r="Q38" s="585"/>
      <c r="R38" s="585"/>
      <c r="S38" s="585"/>
      <c r="T38" s="585"/>
      <c r="U38" s="585"/>
      <c r="V38" s="585"/>
      <c r="W38" s="585"/>
      <c r="X38" s="585"/>
      <c r="Y38" s="585"/>
      <c r="Z38" s="585"/>
      <c r="AA38" s="585"/>
      <c r="AB38" s="585"/>
      <c r="AC38" s="585"/>
      <c r="AD38" s="585"/>
      <c r="AE38" s="585"/>
      <c r="AF38" s="585"/>
    </row>
    <row r="39" spans="2:32" x14ac:dyDescent="0.25">
      <c r="B39" s="585"/>
      <c r="C39" s="585"/>
      <c r="D39" s="585"/>
      <c r="E39" s="585"/>
      <c r="F39" s="585"/>
      <c r="G39" s="585"/>
      <c r="H39" s="585"/>
      <c r="I39" s="585"/>
      <c r="J39" s="585"/>
      <c r="K39" s="585"/>
      <c r="L39" s="585"/>
      <c r="M39" s="585"/>
      <c r="N39" s="585"/>
      <c r="O39" s="585"/>
      <c r="P39" s="585"/>
      <c r="Q39" s="585"/>
      <c r="R39" s="585"/>
      <c r="S39" s="585"/>
      <c r="T39" s="585"/>
      <c r="U39" s="585"/>
      <c r="V39" s="585"/>
      <c r="W39" s="585"/>
      <c r="X39" s="585"/>
      <c r="Y39" s="585"/>
      <c r="Z39" s="585"/>
      <c r="AA39" s="585"/>
      <c r="AB39" s="585"/>
      <c r="AC39" s="585"/>
      <c r="AD39" s="585"/>
      <c r="AE39" s="585"/>
      <c r="AF39" s="585"/>
    </row>
    <row r="40" spans="2:32" x14ac:dyDescent="0.25">
      <c r="B40" s="585"/>
      <c r="C40" s="585"/>
      <c r="D40" s="585"/>
      <c r="E40" s="585"/>
      <c r="F40" s="585"/>
      <c r="G40" s="585"/>
      <c r="H40" s="585"/>
      <c r="I40" s="585"/>
      <c r="J40" s="585"/>
      <c r="K40" s="585"/>
      <c r="L40" s="585"/>
      <c r="M40" s="585"/>
      <c r="N40" s="585"/>
      <c r="O40" s="585"/>
      <c r="P40" s="585"/>
      <c r="Q40" s="585"/>
      <c r="R40" s="585"/>
      <c r="S40" s="585"/>
      <c r="T40" s="585"/>
      <c r="U40" s="585"/>
      <c r="V40" s="585"/>
      <c r="W40" s="585"/>
      <c r="X40" s="585"/>
      <c r="Y40" s="585"/>
      <c r="Z40" s="585"/>
      <c r="AA40" s="585"/>
      <c r="AB40" s="585"/>
      <c r="AC40" s="585"/>
      <c r="AD40" s="585"/>
      <c r="AE40" s="585"/>
      <c r="AF40" s="585"/>
    </row>
    <row r="42" spans="2:32" x14ac:dyDescent="0.25">
      <c r="B42" s="279"/>
      <c r="C42" s="279"/>
      <c r="D42" s="279"/>
      <c r="E42" s="279"/>
      <c r="F42" s="279"/>
      <c r="G42" s="279"/>
      <c r="H42" s="279"/>
      <c r="I42" s="279"/>
      <c r="J42" s="279"/>
      <c r="K42" s="279"/>
      <c r="L42" s="279"/>
      <c r="M42" s="279"/>
      <c r="N42" s="279"/>
      <c r="O42" s="279"/>
      <c r="P42" s="279"/>
      <c r="Q42" s="279"/>
      <c r="R42" s="279"/>
      <c r="S42" s="279"/>
      <c r="T42" s="279"/>
      <c r="U42" s="279"/>
      <c r="V42" s="279"/>
      <c r="W42" s="279"/>
      <c r="X42" s="279"/>
      <c r="Y42" s="279"/>
      <c r="Z42" s="279"/>
      <c r="AA42" s="279"/>
      <c r="AB42" s="279"/>
      <c r="AC42" s="279"/>
      <c r="AD42" s="279"/>
      <c r="AE42" s="279"/>
      <c r="AF42" s="279"/>
    </row>
    <row r="43" spans="2:32" x14ac:dyDescent="0.25">
      <c r="B43" s="279"/>
      <c r="C43" s="279"/>
      <c r="D43" s="279"/>
      <c r="E43" s="279"/>
      <c r="F43" s="279"/>
      <c r="G43" s="279"/>
      <c r="H43" s="279"/>
      <c r="I43" s="279"/>
      <c r="J43" s="279"/>
      <c r="K43" s="279"/>
      <c r="L43" s="279"/>
      <c r="M43" s="279"/>
      <c r="N43" s="279"/>
      <c r="O43" s="279"/>
      <c r="P43" s="279"/>
      <c r="Q43" s="279"/>
      <c r="R43" s="279"/>
      <c r="S43" s="279"/>
      <c r="T43" s="279"/>
      <c r="U43" s="279"/>
      <c r="V43" s="279"/>
      <c r="W43" s="279"/>
      <c r="X43" s="279"/>
      <c r="Y43" s="279"/>
      <c r="Z43" s="279"/>
      <c r="AA43" s="279"/>
      <c r="AB43" s="279"/>
      <c r="AC43" s="279"/>
      <c r="AD43" s="279"/>
      <c r="AE43" s="279"/>
      <c r="AF43" s="279"/>
    </row>
    <row r="44" spans="2:32" x14ac:dyDescent="0.25">
      <c r="B44" s="279"/>
      <c r="C44" s="279"/>
      <c r="D44" s="279"/>
      <c r="E44" s="279"/>
      <c r="F44" s="279"/>
      <c r="G44" s="279"/>
      <c r="H44" s="279"/>
      <c r="I44" s="279"/>
      <c r="J44" s="279"/>
      <c r="K44" s="279"/>
      <c r="L44" s="279"/>
      <c r="M44" s="279"/>
      <c r="N44" s="279"/>
      <c r="O44" s="279"/>
      <c r="P44" s="279"/>
      <c r="Q44" s="279"/>
      <c r="R44" s="279"/>
      <c r="S44" s="279"/>
      <c r="T44" s="279"/>
      <c r="U44" s="279"/>
      <c r="V44" s="279"/>
      <c r="W44" s="279"/>
      <c r="X44" s="279"/>
      <c r="Y44" s="279"/>
      <c r="Z44" s="279"/>
      <c r="AA44" s="279"/>
      <c r="AB44" s="279"/>
      <c r="AC44" s="279"/>
      <c r="AD44" s="279"/>
      <c r="AE44" s="279"/>
      <c r="AF44" s="279"/>
    </row>
    <row r="45" spans="2:32" x14ac:dyDescent="0.25">
      <c r="B45" s="279"/>
      <c r="C45" s="279"/>
      <c r="D45" s="279"/>
      <c r="E45" s="279"/>
      <c r="F45" s="279"/>
      <c r="G45" s="279"/>
      <c r="H45" s="279"/>
      <c r="I45" s="279"/>
      <c r="J45" s="279"/>
      <c r="K45" s="279"/>
      <c r="L45" s="279"/>
      <c r="M45" s="279"/>
      <c r="N45" s="279"/>
      <c r="O45" s="279"/>
      <c r="P45" s="279"/>
      <c r="Q45" s="279"/>
      <c r="R45" s="279"/>
      <c r="S45" s="279"/>
      <c r="T45" s="279"/>
      <c r="U45" s="279"/>
      <c r="V45" s="279"/>
      <c r="W45" s="279"/>
      <c r="X45" s="279"/>
      <c r="Y45" s="279"/>
      <c r="Z45" s="279"/>
      <c r="AA45" s="279"/>
      <c r="AB45" s="279"/>
      <c r="AC45" s="279"/>
      <c r="AD45" s="279"/>
      <c r="AE45" s="279"/>
      <c r="AF45" s="279"/>
    </row>
    <row r="46" spans="2:32" x14ac:dyDescent="0.25">
      <c r="B46" s="279"/>
      <c r="C46" s="279"/>
      <c r="D46" s="279"/>
      <c r="E46" s="279"/>
      <c r="F46" s="279"/>
      <c r="G46" s="279"/>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row>
    <row r="47" spans="2:32" x14ac:dyDescent="0.25">
      <c r="B47" s="279"/>
      <c r="C47" s="279"/>
      <c r="D47" s="279"/>
      <c r="E47" s="279"/>
      <c r="F47" s="279"/>
      <c r="G47" s="279"/>
      <c r="H47" s="279"/>
      <c r="I47" s="279"/>
      <c r="J47" s="279"/>
      <c r="K47" s="279"/>
      <c r="L47" s="279"/>
      <c r="M47" s="279"/>
      <c r="N47" s="279"/>
      <c r="O47" s="279"/>
      <c r="P47" s="279"/>
      <c r="Q47" s="279"/>
      <c r="R47" s="279"/>
      <c r="S47" s="279"/>
      <c r="T47" s="279"/>
      <c r="U47" s="279"/>
      <c r="V47" s="279"/>
      <c r="W47" s="279"/>
      <c r="X47" s="279"/>
      <c r="Y47" s="279"/>
      <c r="Z47" s="279"/>
      <c r="AA47" s="279"/>
      <c r="AB47" s="279"/>
      <c r="AC47" s="279"/>
      <c r="AD47" s="279"/>
      <c r="AE47" s="279"/>
      <c r="AF47" s="279"/>
    </row>
    <row r="48" spans="2:32" x14ac:dyDescent="0.25">
      <c r="B48" s="279"/>
      <c r="C48" s="279"/>
      <c r="D48" s="279"/>
      <c r="E48" s="279"/>
      <c r="F48" s="279"/>
      <c r="G48" s="279"/>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row>
    <row r="49" spans="2:32" ht="41.1" customHeight="1" x14ac:dyDescent="0.25">
      <c r="B49" s="279"/>
      <c r="C49" s="537" t="s">
        <v>0</v>
      </c>
      <c r="D49" s="537"/>
      <c r="E49" s="538"/>
      <c r="F49" s="555" t="s">
        <v>1</v>
      </c>
      <c r="G49" s="555"/>
      <c r="H49" s="555"/>
      <c r="I49" s="555"/>
      <c r="J49" s="555"/>
      <c r="K49" s="555"/>
      <c r="L49" s="555"/>
      <c r="M49" s="555"/>
      <c r="N49" s="555"/>
      <c r="O49" s="555"/>
      <c r="P49" s="555"/>
      <c r="Q49" s="279"/>
      <c r="R49" s="279"/>
      <c r="S49" s="279"/>
      <c r="T49" s="279"/>
      <c r="U49" s="279"/>
      <c r="V49" s="279"/>
      <c r="W49" s="279"/>
      <c r="X49" s="279"/>
      <c r="Y49" s="279"/>
      <c r="Z49" s="279"/>
      <c r="AA49" s="279"/>
      <c r="AB49" s="279"/>
      <c r="AC49" s="279"/>
      <c r="AD49" s="279"/>
      <c r="AE49" s="279"/>
      <c r="AF49" s="279"/>
    </row>
    <row r="50" spans="2:32" ht="18" x14ac:dyDescent="0.25">
      <c r="B50" s="279"/>
      <c r="C50" s="50"/>
      <c r="D50" s="51"/>
      <c r="E50" s="51"/>
      <c r="F50" s="52"/>
      <c r="G50" s="52"/>
      <c r="H50" s="52"/>
      <c r="I50" s="52"/>
      <c r="J50" s="52"/>
      <c r="K50" s="52"/>
      <c r="L50" s="52"/>
      <c r="M50" s="52"/>
      <c r="N50" s="52"/>
      <c r="O50" s="52"/>
      <c r="P50" s="52"/>
      <c r="Q50" s="279"/>
      <c r="R50" s="279"/>
      <c r="S50" s="279"/>
      <c r="T50" s="279"/>
      <c r="U50" s="279"/>
      <c r="V50" s="279"/>
      <c r="W50" s="279"/>
      <c r="X50" s="279"/>
      <c r="Y50" s="279"/>
      <c r="Z50" s="279"/>
      <c r="AA50" s="279"/>
      <c r="AB50" s="279"/>
      <c r="AC50" s="279"/>
      <c r="AD50" s="279"/>
      <c r="AE50" s="583" t="s">
        <v>2</v>
      </c>
      <c r="AF50" s="584"/>
    </row>
    <row r="51" spans="2:32" ht="43.35" customHeight="1" x14ac:dyDescent="0.25">
      <c r="B51" s="279"/>
      <c r="C51" s="537" t="s">
        <v>3</v>
      </c>
      <c r="D51" s="537"/>
      <c r="E51" s="538"/>
      <c r="F51" s="555" t="s">
        <v>4</v>
      </c>
      <c r="G51" s="555"/>
      <c r="H51" s="555"/>
      <c r="I51" s="555"/>
      <c r="J51" s="555"/>
      <c r="K51" s="555"/>
      <c r="L51" s="555"/>
      <c r="M51" s="555"/>
      <c r="N51" s="555"/>
      <c r="O51" s="555"/>
      <c r="P51" s="555"/>
      <c r="Q51" s="279"/>
      <c r="R51" s="279"/>
      <c r="S51" s="279"/>
      <c r="T51" s="279"/>
      <c r="U51" s="279"/>
      <c r="V51" s="279"/>
      <c r="W51" s="279"/>
      <c r="X51" s="279"/>
      <c r="Y51" s="279"/>
      <c r="Z51" s="279"/>
      <c r="AA51" s="279"/>
      <c r="AB51" s="279"/>
      <c r="AC51" s="279"/>
      <c r="AD51" s="279"/>
      <c r="AE51" s="584"/>
      <c r="AF51" s="584"/>
    </row>
    <row r="52" spans="2:32" ht="18" x14ac:dyDescent="0.25">
      <c r="B52" s="279"/>
      <c r="C52" s="50"/>
      <c r="D52" s="51"/>
      <c r="E52" s="51"/>
      <c r="F52" s="52"/>
      <c r="G52" s="52"/>
      <c r="H52" s="52"/>
      <c r="I52" s="52"/>
      <c r="J52" s="52"/>
      <c r="K52" s="52"/>
      <c r="L52" s="52"/>
      <c r="M52" s="52"/>
      <c r="N52" s="52"/>
      <c r="O52" s="52"/>
      <c r="P52" s="52"/>
      <c r="Q52" s="279"/>
      <c r="R52" s="279"/>
      <c r="S52" s="279"/>
      <c r="T52" s="279"/>
      <c r="U52" s="279"/>
      <c r="V52" s="279"/>
      <c r="W52" s="279"/>
      <c r="X52" s="279"/>
      <c r="Y52" s="279"/>
      <c r="Z52" s="279"/>
      <c r="AA52" s="279"/>
      <c r="AB52" s="279"/>
      <c r="AC52" s="279"/>
      <c r="AD52" s="279"/>
      <c r="AE52" s="584"/>
      <c r="AF52" s="584"/>
    </row>
    <row r="53" spans="2:32" ht="36" customHeight="1" x14ac:dyDescent="0.25">
      <c r="B53" s="279"/>
      <c r="C53" s="537" t="s">
        <v>5</v>
      </c>
      <c r="D53" s="537"/>
      <c r="E53" s="538"/>
      <c r="F53" s="539" t="str">
        <f>VLOOKUP(F51,DATOS!F:J,5,FALSE)</f>
        <v>PLANEACIÓN Y MEJORA CONTINUA</v>
      </c>
      <c r="G53" s="539"/>
      <c r="H53" s="539"/>
      <c r="I53" s="539"/>
      <c r="J53" s="539"/>
      <c r="K53" s="539"/>
      <c r="L53" s="539"/>
      <c r="M53" s="539"/>
      <c r="N53" s="539"/>
      <c r="O53" s="539"/>
      <c r="P53" s="539"/>
      <c r="Q53" s="279"/>
      <c r="R53" s="279"/>
      <c r="S53" s="279"/>
      <c r="T53" s="279"/>
      <c r="U53" s="279"/>
      <c r="V53" s="279"/>
      <c r="W53" s="279"/>
      <c r="X53" s="279"/>
      <c r="Y53" s="279"/>
      <c r="Z53" s="279"/>
      <c r="AA53" s="279"/>
      <c r="AB53" s="279"/>
      <c r="AC53" s="279"/>
      <c r="AD53" s="279"/>
      <c r="AE53" s="279"/>
      <c r="AF53" s="279"/>
    </row>
    <row r="54" spans="2:32" ht="18" x14ac:dyDescent="0.25">
      <c r="B54" s="279"/>
      <c r="C54" s="540"/>
      <c r="D54" s="540"/>
      <c r="E54" s="541"/>
      <c r="F54" s="542"/>
      <c r="G54" s="543"/>
      <c r="H54" s="543"/>
      <c r="I54" s="543"/>
      <c r="J54" s="543"/>
      <c r="K54" s="543"/>
      <c r="L54" s="543"/>
      <c r="M54" s="543"/>
      <c r="N54" s="543"/>
      <c r="O54" s="543"/>
      <c r="P54" s="544"/>
      <c r="Q54" s="279"/>
      <c r="R54" s="279"/>
      <c r="S54" s="279"/>
      <c r="T54" s="279"/>
      <c r="U54" s="279"/>
      <c r="V54" s="279"/>
      <c r="W54" s="279"/>
      <c r="X54" s="279"/>
      <c r="Y54" s="279"/>
      <c r="Z54" s="279"/>
      <c r="AA54" s="279"/>
      <c r="AB54" s="279"/>
      <c r="AC54" s="279"/>
      <c r="AD54" s="279"/>
      <c r="AE54" s="583" t="s">
        <v>6</v>
      </c>
      <c r="AF54" s="584"/>
    </row>
    <row r="55" spans="2:32" ht="30" customHeight="1" x14ac:dyDescent="0.25">
      <c r="B55" s="279"/>
      <c r="C55" s="537" t="s">
        <v>7</v>
      </c>
      <c r="D55" s="537"/>
      <c r="E55" s="538"/>
      <c r="F55" s="545" t="str">
        <f>VLOOKUP(F51,DATOS!F:J,4,FALSE)</f>
        <v>OPTIMIZACIÓN DE PROCESOS</v>
      </c>
      <c r="G55" s="546"/>
      <c r="H55" s="546"/>
      <c r="I55" s="546"/>
      <c r="J55" s="546"/>
      <c r="K55" s="546"/>
      <c r="L55" s="546"/>
      <c r="M55" s="547"/>
      <c r="N55" s="53" t="s">
        <v>8</v>
      </c>
      <c r="O55" s="548" t="str">
        <f>VLOOKUP(F51,DATOS!F:K,6,FALSE)</f>
        <v>ACTIVO</v>
      </c>
      <c r="P55" s="549"/>
      <c r="Q55" s="279"/>
      <c r="R55" s="279"/>
      <c r="S55" s="279"/>
      <c r="T55" s="279"/>
      <c r="U55" s="279"/>
      <c r="V55" s="279"/>
      <c r="W55" s="279"/>
      <c r="X55" s="279"/>
      <c r="Y55" s="279"/>
      <c r="Z55" s="279"/>
      <c r="AA55" s="279"/>
      <c r="AB55" s="279"/>
      <c r="AC55" s="279"/>
      <c r="AD55" s="279"/>
      <c r="AE55" s="584"/>
      <c r="AF55" s="584"/>
    </row>
    <row r="56" spans="2:32" ht="18" x14ac:dyDescent="0.25">
      <c r="B56" s="279"/>
      <c r="C56" s="550"/>
      <c r="D56" s="550"/>
      <c r="E56" s="550"/>
      <c r="F56" s="550"/>
      <c r="G56" s="550"/>
      <c r="H56" s="550"/>
      <c r="I56" s="550"/>
      <c r="J56" s="550"/>
      <c r="K56" s="550"/>
      <c r="L56" s="550"/>
      <c r="M56" s="550"/>
      <c r="N56" s="550"/>
      <c r="O56" s="550"/>
      <c r="P56" s="550"/>
      <c r="Q56" s="279"/>
      <c r="R56" s="279"/>
      <c r="S56" s="279"/>
      <c r="T56" s="279"/>
      <c r="U56" s="279"/>
      <c r="V56" s="279"/>
      <c r="W56" s="279"/>
      <c r="X56" s="279"/>
      <c r="Y56" s="279"/>
      <c r="Z56" s="279"/>
      <c r="AA56" s="279"/>
      <c r="AB56" s="279"/>
      <c r="AC56" s="279"/>
      <c r="AD56" s="279"/>
      <c r="AE56" s="584"/>
      <c r="AF56" s="584"/>
    </row>
    <row r="57" spans="2:32" ht="36" customHeight="1" x14ac:dyDescent="0.25">
      <c r="B57" s="279"/>
      <c r="C57" s="537" t="s">
        <v>9</v>
      </c>
      <c r="D57" s="537"/>
      <c r="E57" s="538"/>
      <c r="F57" s="54" t="str">
        <f>VLOOKUP(F51,DATOS!F:O,7,FALSE)</f>
        <v>PROYECTO DE INVERSIÓN</v>
      </c>
      <c r="G57" s="55"/>
      <c r="H57" s="55"/>
      <c r="I57" s="55">
        <f>VLOOKUP(F51,DATOS!F:O,8,FALSE)</f>
        <v>0</v>
      </c>
      <c r="J57" s="54"/>
      <c r="K57" s="55"/>
      <c r="L57" s="55"/>
      <c r="M57" s="55">
        <f>VLOOKUP(F51,DATOS!F:O,9,FALSE)</f>
        <v>0</v>
      </c>
      <c r="N57" s="54"/>
      <c r="O57" s="55">
        <f>VLOOKUP(F51,DATOS!F:O,10,FALSE)</f>
        <v>0</v>
      </c>
      <c r="P57" s="56"/>
      <c r="Q57" s="279"/>
      <c r="R57" s="279"/>
      <c r="S57" s="279"/>
      <c r="T57" s="279"/>
      <c r="U57" s="279"/>
      <c r="V57" s="279"/>
      <c r="W57" s="279"/>
      <c r="X57" s="279"/>
      <c r="Y57" s="279"/>
      <c r="Z57" s="279"/>
      <c r="AA57" s="279"/>
      <c r="AB57" s="279"/>
      <c r="AC57" s="279"/>
      <c r="AD57" s="279"/>
      <c r="AE57" s="279"/>
      <c r="AF57" s="279"/>
    </row>
    <row r="58" spans="2:32" ht="18.75" thickBot="1" x14ac:dyDescent="0.3">
      <c r="B58" s="279"/>
      <c r="C58" s="57"/>
      <c r="D58" s="57"/>
      <c r="E58" s="57"/>
      <c r="F58" s="57"/>
      <c r="G58" s="57"/>
      <c r="H58" s="57"/>
      <c r="I58" s="57"/>
      <c r="J58" s="57"/>
      <c r="K58" s="57"/>
      <c r="L58" s="57"/>
      <c r="M58" s="57"/>
      <c r="N58" s="57"/>
      <c r="O58" s="57"/>
      <c r="P58" s="57"/>
      <c r="Q58" s="279"/>
      <c r="R58" s="279"/>
      <c r="S58" s="279"/>
      <c r="T58" s="279"/>
      <c r="U58" s="279"/>
      <c r="V58" s="279"/>
      <c r="W58" s="279"/>
      <c r="X58" s="279"/>
      <c r="Y58" s="279"/>
      <c r="Z58" s="279"/>
      <c r="AA58" s="279"/>
      <c r="AB58" s="279"/>
      <c r="AC58" s="279"/>
      <c r="AD58" s="279"/>
      <c r="AE58" s="580" t="s">
        <v>10</v>
      </c>
      <c r="AF58" s="582"/>
    </row>
    <row r="59" spans="2:32" ht="53.45" customHeight="1" x14ac:dyDescent="0.25">
      <c r="B59" s="279"/>
      <c r="C59" s="551" t="s">
        <v>11</v>
      </c>
      <c r="D59" s="552"/>
      <c r="E59" s="553" t="s">
        <v>12</v>
      </c>
      <c r="F59" s="552"/>
      <c r="G59" s="553" t="s">
        <v>13</v>
      </c>
      <c r="H59" s="556"/>
      <c r="I59" s="556"/>
      <c r="J59" s="552"/>
      <c r="K59" s="553" t="s">
        <v>14</v>
      </c>
      <c r="L59" s="556"/>
      <c r="M59" s="552"/>
      <c r="N59" s="553" t="s">
        <v>15</v>
      </c>
      <c r="O59" s="556"/>
      <c r="P59" s="557"/>
      <c r="Q59" s="279"/>
      <c r="R59" s="279"/>
      <c r="S59" s="279"/>
      <c r="T59" s="279"/>
      <c r="U59" s="279"/>
      <c r="V59" s="279"/>
      <c r="W59" s="279"/>
      <c r="X59" s="279"/>
      <c r="Y59" s="279"/>
      <c r="Z59" s="279"/>
      <c r="AA59" s="279"/>
      <c r="AB59" s="279"/>
      <c r="AC59" s="279"/>
      <c r="AD59" s="279"/>
      <c r="AE59" s="582"/>
      <c r="AF59" s="582"/>
    </row>
    <row r="60" spans="2:32" ht="150" customHeight="1" x14ac:dyDescent="0.25">
      <c r="B60" s="279"/>
      <c r="C60" s="575" t="str">
        <f>VLOOKUP(F51,DATOS!F:AQ,11,FALSE)</f>
        <v xml:space="preserve">Número de herramientas y/o metodologías de gestión integradas </v>
      </c>
      <c r="D60" s="576" t="e">
        <f>VLOOKUP($G$5,[1]matriz!$E$3:$BX$41,2,0)</f>
        <v>#N/A</v>
      </c>
      <c r="E60" s="577" t="str">
        <f>VLOOKUP(F51,DATOS!F:AQ,12,FALSE)</f>
        <v>Herramientas</v>
      </c>
      <c r="F60" s="577" t="e">
        <f>VLOOKUP($G$5,[1]matriz!$E$3:$BX$41,2,0)</f>
        <v>#N/A</v>
      </c>
      <c r="G60" s="578" t="str">
        <f>VLOOKUP(F51,DATOS!F:AQ,13,FALSE)</f>
        <v xml:space="preserve">Número de herramientas y/o metodologías de gestión integradas </v>
      </c>
      <c r="H60" s="578" t="e">
        <f>VLOOKUP($G$5,[1]matriz!$E$3:$BX$41,2,0)</f>
        <v>#N/A</v>
      </c>
      <c r="I60" s="578" t="e">
        <f>VLOOKUP($G$5,[1]matriz!$E$3:$BX$41,10,0)</f>
        <v>#N/A</v>
      </c>
      <c r="J60" s="578" t="e">
        <f>VLOOKUP($G$5,[1]matriz!$E$3:$BX$41,2,0)</f>
        <v>#N/A</v>
      </c>
      <c r="K60" s="578" t="str">
        <f>VLOOKUP(F51,DATOS!F:AQ,15,FALSE)</f>
        <v>Corresponde a las herramientas y metodologías desarrolladas</v>
      </c>
      <c r="L60" s="578" t="e">
        <f>VLOOKUP($G$5,[1]matriz!$E$3:$BX$41,2,0)</f>
        <v>#N/A</v>
      </c>
      <c r="M60" s="578" t="e">
        <f>VLOOKUP($G$5,[1]matriz!$E$3:$BX$41,2,0)</f>
        <v>#N/A</v>
      </c>
      <c r="N60" s="578" t="str">
        <f>VLOOKUP(F51,DATOS!F:AQ,17,FALSE)</f>
        <v>Informes de gestión OAP
Seguimiento POA</v>
      </c>
      <c r="O60" s="578" t="e">
        <f>VLOOKUP($G$5,[1]matriz!$E$3:$BX$41,2,0)</f>
        <v>#N/A</v>
      </c>
      <c r="P60" s="579" t="e">
        <f>VLOOKUP($G$5,[1]matriz!$E$3:$BX$41,2,0)</f>
        <v>#N/A</v>
      </c>
      <c r="Q60" s="279"/>
      <c r="R60" s="279"/>
      <c r="S60" s="279"/>
      <c r="T60" s="279"/>
      <c r="U60" s="279"/>
      <c r="V60" s="279"/>
      <c r="W60" s="279"/>
      <c r="X60" s="279"/>
      <c r="Y60" s="279"/>
      <c r="Z60" s="279"/>
      <c r="AA60" s="279"/>
      <c r="AB60" s="279"/>
      <c r="AC60" s="279"/>
      <c r="AD60" s="279"/>
      <c r="AE60" s="580" t="s">
        <v>16</v>
      </c>
      <c r="AF60" s="580"/>
    </row>
    <row r="61" spans="2:32" ht="139.35" customHeight="1" x14ac:dyDescent="0.25">
      <c r="B61" s="279"/>
      <c r="C61" s="575" t="e">
        <f>VLOOKUP($G$5,[1]matriz!$E$3:$BX$41,2,0)</f>
        <v>#N/A</v>
      </c>
      <c r="D61" s="576" t="e">
        <f>VLOOKUP($G$5,[1]matriz!$E$3:$BX$41,2,0)</f>
        <v>#N/A</v>
      </c>
      <c r="E61" s="577" t="e">
        <f>VLOOKUP($G$5,[1]matriz!$E$3:$BX$41,2,0)</f>
        <v>#N/A</v>
      </c>
      <c r="F61" s="577" t="e">
        <f>VLOOKUP($G$5,[1]matriz!$E$3:$BX$41,2,0)</f>
        <v>#N/A</v>
      </c>
      <c r="G61" s="578" t="str">
        <f>VLOOKUP(F51,DATOS!F:AQ,14,FALSE)</f>
        <v>N.A.</v>
      </c>
      <c r="H61" s="578" t="e">
        <f>VLOOKUP($G$5,[1]matriz!$E$3:$BX$41,2,0)</f>
        <v>#N/A</v>
      </c>
      <c r="I61" s="578" t="e">
        <f>VLOOKUP($G$5,[1]matriz!$E$3:$BX$41,2,0)</f>
        <v>#N/A</v>
      </c>
      <c r="J61" s="578" t="e">
        <f>VLOOKUP($G$5,[1]matriz!$E$3:$BX$41,2,0)</f>
        <v>#N/A</v>
      </c>
      <c r="K61" s="581" t="str">
        <f>VLOOKUP(F51,DATOS!F:AQ,16,FALSE)</f>
        <v>N.A.</v>
      </c>
      <c r="L61" s="581" t="e">
        <f>VLOOKUP($G$5,[1]matriz!$E$3:$BX$41,2,0)</f>
        <v>#N/A</v>
      </c>
      <c r="M61" s="581" t="e">
        <f>VLOOKUP($G$5,[1]matriz!$E$3:$BX$41,2,0)</f>
        <v>#N/A</v>
      </c>
      <c r="N61" s="578" t="str">
        <f>VLOOKUP(F51,DATOS!F:AQ,18,FALSE)</f>
        <v>N.A.</v>
      </c>
      <c r="O61" s="578" t="e">
        <f>VLOOKUP($G$5,[1]matriz!$E$3:$BX$41,2,0)</f>
        <v>#N/A</v>
      </c>
      <c r="P61" s="579" t="e">
        <f>VLOOKUP($G$5,[1]matriz!$E$3:$BX$41,2,0)</f>
        <v>#N/A</v>
      </c>
      <c r="Q61" s="279"/>
      <c r="R61" s="279"/>
      <c r="S61" s="279"/>
      <c r="T61" s="279"/>
      <c r="U61" s="279"/>
      <c r="V61" s="279"/>
      <c r="W61" s="279"/>
      <c r="X61" s="279"/>
      <c r="Y61" s="279"/>
      <c r="Z61" s="279"/>
      <c r="AA61" s="279"/>
      <c r="AB61" s="279"/>
      <c r="AC61" s="279"/>
      <c r="AD61" s="279"/>
      <c r="AE61" s="279"/>
      <c r="AF61" s="279"/>
    </row>
    <row r="62" spans="2:32" x14ac:dyDescent="0.25">
      <c r="B62" s="279"/>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row>
    <row r="63" spans="2:32" ht="15.75" thickBot="1" x14ac:dyDescent="0.3">
      <c r="B63" s="279"/>
      <c r="C63" s="279"/>
      <c r="D63" s="279"/>
      <c r="E63" s="49"/>
      <c r="F63" s="49"/>
      <c r="G63" s="49"/>
      <c r="H63" s="49"/>
      <c r="I63" s="49"/>
      <c r="J63" s="49"/>
      <c r="K63" s="49"/>
      <c r="L63" s="49"/>
      <c r="M63" s="279"/>
      <c r="N63" s="49"/>
      <c r="O63" s="49"/>
      <c r="P63" s="49"/>
      <c r="Q63" s="279"/>
      <c r="R63" s="279"/>
      <c r="S63" s="279"/>
      <c r="T63" s="279"/>
      <c r="U63" s="279"/>
      <c r="V63" s="279"/>
      <c r="W63" s="279"/>
      <c r="X63" s="279"/>
      <c r="Y63" s="279"/>
      <c r="Z63" s="279"/>
      <c r="AA63" s="279"/>
      <c r="AB63" s="279"/>
      <c r="AC63" s="279"/>
      <c r="AD63" s="279"/>
      <c r="AE63" s="279"/>
      <c r="AF63" s="279"/>
    </row>
    <row r="64" spans="2:32" ht="19.5" thickBot="1" x14ac:dyDescent="0.3">
      <c r="B64" s="279"/>
      <c r="C64" s="279"/>
      <c r="D64" s="279"/>
      <c r="E64" s="58"/>
      <c r="F64" s="58"/>
      <c r="G64" s="146" t="s">
        <v>17</v>
      </c>
      <c r="H64" s="60" t="s">
        <v>18</v>
      </c>
      <c r="I64" s="61"/>
      <c r="J64" s="62"/>
      <c r="K64" s="59" t="s">
        <v>54</v>
      </c>
      <c r="L64" s="60" t="s">
        <v>20</v>
      </c>
      <c r="M64" s="279"/>
      <c r="N64" s="49"/>
      <c r="O64" s="49"/>
      <c r="P64" s="49"/>
      <c r="Q64" s="279"/>
      <c r="R64" s="279"/>
      <c r="S64" s="279"/>
      <c r="T64" s="279"/>
      <c r="U64" s="279"/>
      <c r="V64" s="279"/>
      <c r="W64" s="279"/>
      <c r="X64" s="279"/>
      <c r="Y64" s="279"/>
      <c r="Z64" s="279"/>
      <c r="AA64" s="279"/>
      <c r="AB64" s="279"/>
      <c r="AC64" s="279"/>
      <c r="AD64" s="279"/>
      <c r="AE64" s="279"/>
      <c r="AF64" s="279"/>
    </row>
    <row r="65" spans="2:32" ht="23.25" thickBot="1" x14ac:dyDescent="0.3">
      <c r="B65" s="279"/>
      <c r="C65" s="279"/>
      <c r="D65" s="279"/>
      <c r="E65" s="58"/>
      <c r="F65" s="568">
        <v>2020</v>
      </c>
      <c r="G65" s="569">
        <f>VLOOKUP(F$51,DATOS!F:AQ,27,FALSE)</f>
        <v>4</v>
      </c>
      <c r="H65" s="566">
        <f>VLOOKUP(F$51,DATOS!F:AQ,32,FALSE)</f>
        <v>4</v>
      </c>
      <c r="I65" s="61"/>
      <c r="J65" s="63" t="s">
        <v>21</v>
      </c>
      <c r="K65" s="64">
        <f>VLOOKUP(F51,DATOS!F:CO,47,FALSE)</f>
        <v>4</v>
      </c>
      <c r="L65" s="65">
        <f>VLOOKUP(F$51,DATOS!F:CO,59,FALSE)</f>
        <v>4</v>
      </c>
      <c r="M65" s="279"/>
      <c r="N65" s="558"/>
      <c r="O65" s="558"/>
      <c r="P65" s="558"/>
      <c r="Q65" s="279"/>
      <c r="R65" s="279"/>
      <c r="S65" s="279"/>
      <c r="T65" s="279"/>
      <c r="U65" s="279"/>
      <c r="V65" s="279"/>
      <c r="W65" s="279"/>
      <c r="X65" s="279"/>
      <c r="Y65" s="279"/>
      <c r="Z65" s="279"/>
      <c r="AA65" s="280" t="s">
        <v>24</v>
      </c>
      <c r="AB65" s="279"/>
      <c r="AC65" s="279"/>
      <c r="AD65" s="279"/>
      <c r="AE65" s="279"/>
      <c r="AF65" s="279"/>
    </row>
    <row r="66" spans="2:32" ht="24" thickBot="1" x14ac:dyDescent="0.3">
      <c r="B66" s="279"/>
      <c r="C66" s="279"/>
      <c r="D66" s="279"/>
      <c r="E66" s="58"/>
      <c r="F66" s="568"/>
      <c r="G66" s="570"/>
      <c r="H66" s="567"/>
      <c r="I66" s="61"/>
      <c r="J66" s="63" t="s">
        <v>23</v>
      </c>
      <c r="K66" s="64">
        <f>VLOOKUP(F51,DATOS!F:CO,48,FALSE)</f>
        <v>4</v>
      </c>
      <c r="L66" s="65">
        <f>VLOOKUP(F$51,DATOS!F:CO,60,FALSE)</f>
        <v>4</v>
      </c>
      <c r="M66" s="279"/>
      <c r="N66" s="559" t="str">
        <f>VLOOKUP(F51,DATOS!F:CO,21,FALSE)</f>
        <v>CONSTANTE</v>
      </c>
      <c r="O66" s="559"/>
      <c r="P66" s="559"/>
      <c r="Q66" s="279"/>
      <c r="R66" s="279"/>
      <c r="S66" s="279"/>
      <c r="T66" s="279"/>
      <c r="U66" s="279"/>
      <c r="V66" s="279"/>
      <c r="W66" s="279"/>
      <c r="X66" s="279"/>
      <c r="Y66" s="279"/>
      <c r="Z66" s="279"/>
      <c r="AA66" s="279"/>
      <c r="AB66" s="279"/>
      <c r="AC66" s="279"/>
      <c r="AD66" s="279"/>
      <c r="AE66" s="279"/>
      <c r="AF66" s="279"/>
    </row>
    <row r="67" spans="2:32" ht="15" customHeight="1" thickBot="1" x14ac:dyDescent="0.3">
      <c r="B67" s="279"/>
      <c r="C67" s="279"/>
      <c r="D67" s="279"/>
      <c r="E67" s="58"/>
      <c r="F67" s="568">
        <v>2021</v>
      </c>
      <c r="G67" s="569">
        <f>VLOOKUP(F$51,DATOS!F:AQ,28,FALSE)</f>
        <v>4</v>
      </c>
      <c r="H67" s="566">
        <f>VLOOKUP(F$51,DATOS!F:AQ,33,FALSE)</f>
        <v>4</v>
      </c>
      <c r="I67" s="61"/>
      <c r="J67" s="63" t="s">
        <v>24</v>
      </c>
      <c r="K67" s="64">
        <f>VLOOKUP(F51,DATOS!F:CO,49,FALSE)</f>
        <v>4</v>
      </c>
      <c r="L67" s="65">
        <f>VLOOKUP(F$51,DATOS!F:CO,61,FALSE)</f>
        <v>4</v>
      </c>
      <c r="M67" s="279"/>
      <c r="N67" s="49"/>
      <c r="O67" s="49"/>
      <c r="P67" s="49"/>
      <c r="Q67" s="279"/>
      <c r="R67" s="279"/>
      <c r="S67" s="279"/>
      <c r="T67" s="279"/>
      <c r="U67" s="279"/>
      <c r="V67" s="279"/>
      <c r="W67" s="279"/>
      <c r="X67" s="279"/>
      <c r="Y67" s="279"/>
      <c r="Z67" s="279"/>
      <c r="AA67" s="279"/>
      <c r="AB67" s="279"/>
      <c r="AC67" s="279"/>
      <c r="AD67" s="279"/>
      <c r="AE67" s="279"/>
      <c r="AF67" s="279"/>
    </row>
    <row r="68" spans="2:32" ht="15" customHeight="1" thickBot="1" x14ac:dyDescent="0.3">
      <c r="B68" s="279"/>
      <c r="C68" s="279"/>
      <c r="D68" s="279"/>
      <c r="E68" s="58"/>
      <c r="F68" s="568"/>
      <c r="G68" s="570"/>
      <c r="H68" s="567"/>
      <c r="I68" s="61"/>
      <c r="J68" s="63" t="s">
        <v>25</v>
      </c>
      <c r="K68" s="64">
        <f>VLOOKUP(F$51,DATOS!F:CO,50,FALSE)</f>
        <v>4</v>
      </c>
      <c r="L68" s="65">
        <f>VLOOKUP(F$51,DATOS!F:CO,62,FALSE)</f>
        <v>4</v>
      </c>
      <c r="M68" s="279"/>
      <c r="N68" s="49"/>
      <c r="O68" s="49"/>
      <c r="P68" s="49"/>
      <c r="Q68" s="279"/>
      <c r="R68" s="279"/>
      <c r="S68" s="279"/>
      <c r="T68" s="279"/>
      <c r="U68" s="279"/>
      <c r="V68" s="279"/>
      <c r="W68" s="279"/>
      <c r="X68" s="279"/>
      <c r="Y68" s="279"/>
      <c r="Z68" s="279"/>
      <c r="AA68" s="279"/>
      <c r="AB68" s="279"/>
      <c r="AC68" s="279"/>
      <c r="AD68" s="279"/>
      <c r="AE68" s="279"/>
      <c r="AF68" s="279"/>
    </row>
    <row r="69" spans="2:32" ht="33" customHeight="1" thickBot="1" x14ac:dyDescent="0.35">
      <c r="B69" s="279"/>
      <c r="C69" s="279"/>
      <c r="D69" s="279"/>
      <c r="E69" s="58"/>
      <c r="F69" s="568">
        <v>2022</v>
      </c>
      <c r="G69" s="569">
        <f>VLOOKUP(F$51,DATOS!F:AQ,29,FALSE)</f>
        <v>4</v>
      </c>
      <c r="H69" s="566">
        <f>VLOOKUP(F$51,DATOS!F:AQ,34,FALSE)</f>
        <v>4</v>
      </c>
      <c r="I69" s="61"/>
      <c r="J69" s="63" t="s">
        <v>26</v>
      </c>
      <c r="K69" s="64">
        <f>VLOOKUP(F$51,DATOS!F:CO,51,FALSE)</f>
        <v>4</v>
      </c>
      <c r="L69" s="65">
        <f>VLOOKUP(F$51,DATOS!F:CO,63,FALSE)</f>
        <v>4</v>
      </c>
      <c r="M69" s="279"/>
      <c r="N69" s="49"/>
      <c r="O69" s="49"/>
      <c r="P69" s="49"/>
      <c r="Q69" s="279"/>
      <c r="R69" s="279"/>
      <c r="S69" s="279"/>
      <c r="T69" s="279"/>
      <c r="U69" s="279"/>
      <c r="V69" s="279"/>
      <c r="W69" s="279"/>
      <c r="X69" s="279"/>
      <c r="Y69" s="142" t="s">
        <v>5</v>
      </c>
      <c r="Z69" s="6"/>
      <c r="AA69" s="142"/>
      <c r="AB69" s="7" t="s">
        <v>55</v>
      </c>
      <c r="AC69" s="142"/>
      <c r="AD69" s="7" t="s">
        <v>28</v>
      </c>
      <c r="AE69" s="2"/>
      <c r="AF69" s="279"/>
    </row>
    <row r="70" spans="2:32" ht="24" thickBot="1" x14ac:dyDescent="0.35">
      <c r="B70" s="279"/>
      <c r="C70" s="279"/>
      <c r="D70" s="279"/>
      <c r="E70" s="58"/>
      <c r="F70" s="568"/>
      <c r="G70" s="570"/>
      <c r="H70" s="567"/>
      <c r="I70" s="61"/>
      <c r="J70" s="63" t="s">
        <v>29</v>
      </c>
      <c r="K70" s="64">
        <f>VLOOKUP(F$51,DATOS!F:CO,52,FALSE)</f>
        <v>4</v>
      </c>
      <c r="L70" s="65">
        <f>VLOOKUP(F$51,DATOS!F:CO,64,FALSE)</f>
        <v>0</v>
      </c>
      <c r="M70" s="279"/>
      <c r="N70" s="559" t="str">
        <f>VLOOKUP(F51,DATOS!F:CO,22,FALSE)</f>
        <v>MENSUAL</v>
      </c>
      <c r="O70" s="559"/>
      <c r="P70" s="559"/>
      <c r="Q70" s="279"/>
      <c r="R70" s="279"/>
      <c r="S70" s="279"/>
      <c r="T70" s="279"/>
      <c r="U70" s="279"/>
      <c r="V70" s="279"/>
      <c r="W70" s="279"/>
      <c r="X70" s="279"/>
      <c r="Y70" s="3"/>
      <c r="Z70" s="4"/>
      <c r="AA70" s="4"/>
      <c r="AB70" s="5"/>
      <c r="AC70" s="4"/>
      <c r="AD70" s="5"/>
      <c r="AE70" s="2"/>
      <c r="AF70" s="279"/>
    </row>
    <row r="71" spans="2:32" ht="15" customHeight="1" thickBot="1" x14ac:dyDescent="0.35">
      <c r="B71" s="279"/>
      <c r="C71" s="279"/>
      <c r="D71" s="279"/>
      <c r="E71" s="58"/>
      <c r="F71" s="568">
        <v>2023</v>
      </c>
      <c r="G71" s="569">
        <f>VLOOKUP(F$51,DATOS!F:AQ,30,FALSE)</f>
        <v>100</v>
      </c>
      <c r="H71" s="566">
        <f>VLOOKUP(F$51,DATOS!F:AQ,35,FALSE)</f>
        <v>4</v>
      </c>
      <c r="I71" s="61"/>
      <c r="J71" s="63" t="s">
        <v>30</v>
      </c>
      <c r="K71" s="64">
        <f>VLOOKUP(F$51,DATOS!F:CO,53,FALSE)</f>
        <v>4</v>
      </c>
      <c r="L71" s="65">
        <f>VLOOKUP(F$51,DATOS!F:CO,65,FALSE)</f>
        <v>0</v>
      </c>
      <c r="M71" s="279"/>
      <c r="N71" s="49"/>
      <c r="O71" s="49"/>
      <c r="P71" s="49"/>
      <c r="Q71" s="279"/>
      <c r="R71" s="279"/>
      <c r="S71" s="279"/>
      <c r="T71" s="279"/>
      <c r="U71" s="279"/>
      <c r="V71" s="279"/>
      <c r="W71" s="279"/>
      <c r="X71" s="279"/>
      <c r="Y71" s="267"/>
      <c r="Z71" s="268"/>
      <c r="AA71" s="268"/>
      <c r="AB71" s="269"/>
      <c r="AC71" s="268"/>
      <c r="AD71" s="269"/>
      <c r="AE71" s="270"/>
      <c r="AF71" s="279"/>
    </row>
    <row r="72" spans="2:32" ht="21" customHeight="1" thickBot="1" x14ac:dyDescent="0.35">
      <c r="B72" s="279"/>
      <c r="C72" s="279"/>
      <c r="D72" s="279"/>
      <c r="E72" s="58"/>
      <c r="F72" s="568"/>
      <c r="G72" s="570"/>
      <c r="H72" s="567"/>
      <c r="I72" s="61"/>
      <c r="J72" s="63" t="s">
        <v>31</v>
      </c>
      <c r="K72" s="64">
        <f>VLOOKUP(F$51,DATOS!F:CO,54,FALSE)</f>
        <v>4</v>
      </c>
      <c r="L72" s="65">
        <f>VLOOKUP(F$51,DATOS!F:CO,66,FALSE)</f>
        <v>0</v>
      </c>
      <c r="M72" s="279"/>
      <c r="N72" s="49"/>
      <c r="O72" s="49"/>
      <c r="P72" s="49"/>
      <c r="Q72" s="279"/>
      <c r="R72" s="279"/>
      <c r="S72" s="279"/>
      <c r="T72" s="279"/>
      <c r="U72" s="279"/>
      <c r="V72" s="279"/>
      <c r="W72" s="279"/>
      <c r="X72" s="279"/>
      <c r="Y72" s="271" t="s">
        <v>32</v>
      </c>
      <c r="Z72" s="272"/>
      <c r="AA72" s="272"/>
      <c r="AB72" s="264" cm="1">
        <f t="array" ref="AB72">_xlfn.IFS($AA$65='FORMULAS%'!AN$3,(IFERROR(AVERAGEIF(DATOS!J:J,'Con otro color'!Y72,DATOS!DE:DE),0)), $AA$65='FORMULAS%'!AN$4,(IFERROR(AVERAGEIF(DATOS!J:J,'Con otro color'!Y72,DATOS!DF:DF),0)), $AA$65='FORMULAS%'!AN$5,(IFERROR(AVERAGEIF(DATOS!J:J,'Con otro color'!Y72,DATOS!DG:DG),0)), $AA$65='FORMULAS%'!AN$6,(IFERROR(AVERAGEIF(DATOS!J:J,'Con otro color'!Y72,DATOS!DH:DH),0)), $AA$65='FORMULAS%'!AN$7,(IFERROR(AVERAGEIF(DATOS!J:J,'Con otro color'!Y72,DATOS!DI:DI),0)), $AA$65='FORMULAS%'!AN$8,(IFERROR(AVERAGEIF(DATOS!J:J,'Con otro color'!Y72,DATOS!DJ:DJ),0)), $AA$65='FORMULAS%'!AN$9,(IFERROR(AVERAGEIF(DATOS!J:J,'Con otro color'!Y72,DATOS!DK:DK),0)), $AA$65='FORMULAS%'!AN$10,(IFERROR(AVERAGEIF(DATOS!J:J,'Con otro color'!Y72,DATOS!DL:DL),0)), $AA$65='FORMULAS%'!AN$11,(IFERROR(AVERAGEIF(DATOS!J:J,'Con otro color'!Y72,DATOS!DM:DM),0)), $AA$65='FORMULAS%'!AN$12,(IFERROR(AVERAGEIF(DATOS!J:J,'Con otro color'!Y72,DATOS!DN:DN),0)), $AA$65='FORMULAS%'!AN$13,(IFERROR(AVERAGEIF(DATOS!J:J,'Con otro color'!Y72,DATOS!DO:DO),0)), $AA$65='FORMULAS%'!AN$14,(IFERROR(AVERAGEIF(DATOS!J:J,'Con otro color'!Y72,DATOS!DP:DP),0)))</f>
        <v>1</v>
      </c>
      <c r="AC72" s="272"/>
      <c r="AD72" s="265">
        <f>IFERROR(AVERAGEIF(DATOS!J:J,'Con otro color'!Y72,DATOS!DP:DP),0)</f>
        <v>0.5</v>
      </c>
      <c r="AE72" s="273"/>
      <c r="AF72" s="279"/>
    </row>
    <row r="73" spans="2:32" ht="15" customHeight="1" thickBot="1" x14ac:dyDescent="0.35">
      <c r="B73" s="279"/>
      <c r="C73" s="279"/>
      <c r="D73" s="279"/>
      <c r="E73" s="58"/>
      <c r="F73" s="568">
        <v>2024</v>
      </c>
      <c r="G73" s="569">
        <f>VLOOKUP(F$51,DATOS!F:AQ,31,FALSE)</f>
        <v>4</v>
      </c>
      <c r="H73" s="566">
        <f>VLOOKUP(F$51,DATOS!F:AQ,36,FALSE)</f>
        <v>100</v>
      </c>
      <c r="I73" s="61"/>
      <c r="J73" s="63" t="s">
        <v>33</v>
      </c>
      <c r="K73" s="64">
        <f>VLOOKUP(F$51,DATOS!F:CO,55,FALSE)</f>
        <v>4</v>
      </c>
      <c r="L73" s="65">
        <f>VLOOKUP(F$51,DATOS!F:CO,67,FALSE)</f>
        <v>0</v>
      </c>
      <c r="M73" s="279"/>
      <c r="N73" s="49"/>
      <c r="O73" s="49"/>
      <c r="P73" s="49"/>
      <c r="Q73" s="279"/>
      <c r="R73" s="279"/>
      <c r="S73" s="279"/>
      <c r="T73" s="279"/>
      <c r="U73" s="279"/>
      <c r="V73" s="279"/>
      <c r="W73" s="279"/>
      <c r="X73" s="279"/>
      <c r="Y73" s="271"/>
      <c r="Z73" s="272"/>
      <c r="AA73" s="272"/>
      <c r="AB73" s="274"/>
      <c r="AC73" s="272"/>
      <c r="AD73" s="274"/>
      <c r="AE73" s="273"/>
      <c r="AF73" s="279"/>
    </row>
    <row r="74" spans="2:32" ht="24" thickBot="1" x14ac:dyDescent="0.35">
      <c r="B74" s="279"/>
      <c r="C74" s="279"/>
      <c r="D74" s="279"/>
      <c r="E74" s="58"/>
      <c r="F74" s="568"/>
      <c r="G74" s="570"/>
      <c r="H74" s="567"/>
      <c r="I74" s="61"/>
      <c r="J74" s="63" t="s">
        <v>22</v>
      </c>
      <c r="K74" s="64">
        <f>VLOOKUP(F$51,DATOS!F:CO,56,FALSE)</f>
        <v>4</v>
      </c>
      <c r="L74" s="65" t="str">
        <f>VLOOKUP(F$51,DATOS!F:CO,68,FALSE)</f>
        <v>Esta meta inicia su ejecución en Marzo.</v>
      </c>
      <c r="M74" s="279"/>
      <c r="N74" s="559" t="str">
        <f>VLOOKUP(F51,DATOS!F:CO,23,FALSE)</f>
        <v>EFICACIA</v>
      </c>
      <c r="O74" s="559"/>
      <c r="P74" s="559"/>
      <c r="Q74" s="279"/>
      <c r="R74" s="279"/>
      <c r="S74" s="279"/>
      <c r="T74" s="279"/>
      <c r="U74" s="279"/>
      <c r="V74" s="279"/>
      <c r="W74" s="279"/>
      <c r="X74" s="279"/>
      <c r="Y74" s="271" t="s">
        <v>56</v>
      </c>
      <c r="Z74" s="272"/>
      <c r="AA74" s="272"/>
      <c r="AB74" s="264" cm="1">
        <f t="array" ref="AB74">_xlfn.IFS($AA$65='FORMULAS%'!AN$3,(IFERROR(AVERAGEIF(DATOS!J:J,'Con otro color'!Y74,DATOS!DE:DE),0)), $AA$65='FORMULAS%'!AN$4,(IFERROR(AVERAGEIF(DATOS!J:J,'Con otro color'!Y74,DATOS!DF:DF),0)), $AA$65='FORMULAS%'!AN$5,(IFERROR(AVERAGEIF(DATOS!J:J,'Con otro color'!Y74,DATOS!DG:DG),0)), $AA$65='FORMULAS%'!AN$6,(IFERROR(AVERAGEIF(DATOS!J:J,'Con otro color'!Y74,DATOS!DH:DH),0)), $AA$65='FORMULAS%'!AN$7,(IFERROR(AVERAGEIF(DATOS!J:J,'Con otro color'!Y74,DATOS!DI:DI),0)), $AA$65='FORMULAS%'!AN$8,(IFERROR(AVERAGEIF(DATOS!J:J,'Con otro color'!Y74,DATOS!DJ:DJ),0)), $AA$65='FORMULAS%'!AN$9,(IFERROR(AVERAGEIF(DATOS!J:J,'Con otro color'!Y74,DATOS!DK:DK),0)), $AA$65='FORMULAS%'!AN$10,(IFERROR(AVERAGEIF(DATOS!J:J,'Con otro color'!Y74,DATOS!DL:DL),0)), $AA$65='FORMULAS%'!AN$11,(IFERROR(AVERAGEIF(DATOS!J:J,'Con otro color'!Y74,DATOS!DM:DM),0)), $AA$65='FORMULAS%'!AN$12,(IFERROR(AVERAGEIF(DATOS!J:J,'Con otro color'!Y74,DATOS!DN:DN),0)), $AA$65='FORMULAS%'!AN$13,(IFERROR(AVERAGEIF(DATOS!J:J,'Con otro color'!Y74,DATOS!DO:DO),0)), $AA$65='FORMULAS%'!AN$14,(IFERROR(AVERAGEIF(DATOS!J:J,'Con otro color'!Y74,DATOS!DP:DP),0)))</f>
        <v>0</v>
      </c>
      <c r="AC74" s="272"/>
      <c r="AD74" s="265">
        <f>IFERROR(AVERAGEIF(DATOS!J:J,'Con otro color'!Y74,DATOS!DP:DP),0)</f>
        <v>0</v>
      </c>
      <c r="AE74" s="273"/>
      <c r="AF74" s="279"/>
    </row>
    <row r="75" spans="2:32" ht="15" customHeight="1" thickBot="1" x14ac:dyDescent="0.35">
      <c r="B75" s="279"/>
      <c r="C75" s="279"/>
      <c r="D75" s="279"/>
      <c r="E75" s="573" t="s">
        <v>35</v>
      </c>
      <c r="F75" s="573"/>
      <c r="G75" s="145" t="str">
        <f>IF(N66="Decreciente",MID(G73,1,4),IF(N66="Suma",SUM(G65:G74),IF(N66="Creciente",MID(G73,1,4),IF(N66="Constante",MID(G73,1,4)))))</f>
        <v>4</v>
      </c>
      <c r="H75" s="145" t="str">
        <f>IF(N66="Decreciente",MID(H73,1,4),IF(N66="Suma",SUM(H65:H74),IF(N66="Creciente",MID(H73,1,4),IF(N66="Constante",MID(H73,1,4)))))</f>
        <v>100</v>
      </c>
      <c r="I75" s="61"/>
      <c r="J75" s="63" t="s">
        <v>36</v>
      </c>
      <c r="K75" s="64">
        <f>VLOOKUP(F$51,DATOS!F:CO,57,FALSE)</f>
        <v>4</v>
      </c>
      <c r="L75" s="65" t="str">
        <f>VLOOKUP(F$51,DATOS!F:CO,69,FALSE)</f>
        <v>Frente a la meta número 2, se lograron integrar 4 herramientas y metodologías de gestión en el mes de febrero, logrando incrementar la satisfacción de las partes interesadas. Dichas herramientas fueron: Informes de Gestión y Resultados, Sistema de Gestión de Calidad, Formulación de alertas para prevenir posibles incumplimientos resultados de auditorías anteriores y el Ranking de Entidades Distritales. Para el mes de febrero se presentó el primer informe de alertas tempranas.
Alertas Tempranas: Desde la OAP se elaboró y publicó a través del boletín interno y página web, el primer informe de Alertas tempranas 2023, el cual surtió de las tres auditorías de gestión realizadas durante el último trimestre del año 2022 y del cual se extractan seis recomendaciones generales que no están plasmadas en los 18 planes de mejoramiento registrados por parte de los procesos en el aplicativo SMART
Sistema de Gestión de Calidad: Durante el mes de Febrero se realizó seguimiento y aprobación de las solicitudes de eliminación, creación y actualización de la documentación necesaria para el Sistema Integrado de Gestión, en total  35 flujos de trabajo de las cuales 15 son nuevas solicitudes. 
Normograma: Para la nueva actualización del normograma de los 17 procesos de la SJD, 16 dieron respuesta respuestas, dos de ellos manifiestan mantener su marco normativo actualizado y el procesos de NOTIFICACIONES no envió respuesta.
Planes de mejoramiento: Se elaboró y publicó en boletín interno y página web informe ejecutivo de planes de mejoramiento mensual del mes de febrero, en el cual se dio a conocer mediante gráficos el estado actual de planes registrados hasta la fecha en el aplicativo SMART. Frente a la formulación y seguimiento de dichos planes, se diligenció el formato y se envió un correo electrónico en el cual se reporta incidencia al proveedor de servicios ITS, respecto a falta de inclusión de espacio de seguimiento a actividades del plan 716 como auditor, registrado con ticket 2023-030. Así mismo, se realizó asesoría para cargue de evidencia de una de las cuatro actividades “Dar a conocer a través de correo electrónico el portafolio de B&amp;S a todos los funcionarios de IVC” del plan 737 del proceso de IVC. 
También se elaboró y proyectó presentación de planes de mejoramiento, para reunión de grupo gestor del mes de febrero en la cual se dio a conocer circular 004 de 2023 que habla sobre los lineamientos para la correcta formulación de planes, así mismo fechas de cierre de planes y socialización del informe ejecutivo de P.M. Por último, se realizó trazabilidad y respuesta a través de correo electrónico a la Oficina de Control Interno frente al plan 716 identificando la razón por la cual este plan con fuente OCI no tenía el espacio de seguimiento del auditor OCI.
Gestión del Riesgo: En el grupo gestor del mes de febrero, la Oficina Asesora de Planeación presentó por medio del líder del módulo del SMART la metodología de gestión de riesgos de gestión de la entidad, con el fin de que los procesos puedan identificar y formular de manera adecuada los riesgos, controles y planes de tratamiento respectivamente. Además, se elaboró video para el registro de los riesgos de corrupción en el sistema Smart y se realizó revisión y retroalimentación del registro de los riesgos en el sistema Smart de cada uno de los procesos. Por último, se generó la versión número 1 del mapa de riesgos de corrupción en el sistema Smart.</v>
      </c>
      <c r="M75" s="279"/>
      <c r="N75" s="49"/>
      <c r="O75" s="49"/>
      <c r="P75" s="49"/>
      <c r="Q75" s="279"/>
      <c r="R75" s="279"/>
      <c r="S75" s="279"/>
      <c r="T75" s="279"/>
      <c r="U75" s="279"/>
      <c r="V75" s="279"/>
      <c r="W75" s="279"/>
      <c r="X75" s="279"/>
      <c r="Y75" s="271"/>
      <c r="Z75" s="272"/>
      <c r="AA75" s="272"/>
      <c r="AB75" s="274"/>
      <c r="AC75" s="272"/>
      <c r="AD75" s="274"/>
      <c r="AE75" s="273"/>
      <c r="AF75" s="279"/>
    </row>
    <row r="76" spans="2:32" ht="18" customHeight="1" thickBot="1" x14ac:dyDescent="0.35">
      <c r="B76" s="279"/>
      <c r="C76" s="279"/>
      <c r="D76" s="279"/>
      <c r="E76" s="573"/>
      <c r="F76" s="573"/>
      <c r="G76" s="66"/>
      <c r="H76" s="67"/>
      <c r="I76" s="61"/>
      <c r="J76" s="63" t="s">
        <v>37</v>
      </c>
      <c r="K76" s="64">
        <f>VLOOKUP(F$51,DATOS!F:CO,58,FALSE)</f>
        <v>4</v>
      </c>
      <c r="L76" s="65" t="str">
        <f>VLOOKUP(F$51,DATOS!F:CO,70,FALSE)</f>
        <v>Informe de gestión y resultados y seguimiento a plan de acción: Con el fin de apoyar la revisión y consolidación de información del Plan Operativo Anual de Inversión de la Entidad, en el mes de marzo se llevó a cabo la revisión y retroalimentación de los reportes del mes de febrero, de las dependencias encargadas de ejecutar las metas de los proyectos de inversión del Plan Distrital de Desarrollo. Al respecto y con el fin de acompañar el proceso, se realizaron ejercicios de retroalimentación necesaria para lograr información clara y oportuna. Por lo anterior, se realizó la socialización de las pautas para la presentación de informes de gestión y resultados con ocasión a la finalización del primer trimestre del año, a través del boletín interno de comunicaciones y en el grupo gestor del mes de marzo. 
Ahora bien, con ocasión al seguimiento de indicadores de la Secretaría Jurídica Distrital que aportan a los Objetivos de Desarrollo Sostenible ODS, en el mes de marzo se elaboró y remitió a la Secretaría Distrital de Planeación, el informe ODS de las 16 metas sectoriales de la Secretaría Jurídica Distrital, atendiendo lo dispuesto en la Circular 039 de 2022, así como los logros y resultados de las mismas con corte a 31 de diciembre de 2022, el cual se puede consultar a través del enlace: https://drive.google.com/drive/folders/1sgYtUv2IAl4LIeGEIsOyDrhnybbltn1r?usp=sharing
De otra parte, con el fin de propender por la mejora continua del protocolo de atención a la ciudadanía, se realizaron dos llamadas incógnitas de verificación de los canales y trámites de productos y servicios de la Entidad de cara a la ciudadanía, concluyendo que fue brindada la información de los canales de atención y de algunos trámites que realiza la Secretaría, con algunas observaciones que se tendrán en cuenta para socializar y mejorar en el futuro. La información fue contrastada con la referida en el Portafolio vigente.
Transparencia: Para el mes de marzo, se participó en la socialización de lineamientos y directrices de la medición del Índice de Transparencia de Bogotá 2022-2023 que medirá la gestión de 36 entidades en torno su gestión. Además, se adelantó la revisión de página web respecto a: acceso a enlaces, verificación de documentos con el último ente certificador, corrección de vigencias de documentos, actualización de documentos, adición de vigencias, corrección de datos y ortografía entre otros, gestión soportada en aproximadamente 75 correos de solicitudes. Así mismo, se dio lectura a los 10 capítulos del índice de transparencia de Bogotá- ITB, se identificó y descargó información que se tenía en página web y aplicativo SMART-documentos, seguidamente se procedió a realizar mesas de trabajo con las distintas dependencias para solucionar en vivo preguntas y otras que necesitaban revisión y búsqueda se remitieron a los respectivos correos electrónicos para su solución con los respectivos soportes. También se Participó en cuatro mesas de trabajo de la Secretaría General en torno a solucionar dudas e inquietudes de las distintas temáticas del ITB.
Sistema de Gestión de Calidad: Durante el mes de marzo se realizó aprobación de algunas solicitudes de eliminación, creación y actualización de la documentación necesaria para el Sistema Integrado de Gestión, en total se recibieron 17 solicitudes, de las cuales se les dio aprobación para continuar con el flujo de revisión hasta la publicación.  Además se continuo con la actualización de 30 tickets,  8 de creación y 4 de eliminación. Durante este periodo, se fortaleció la eficiencia y la economía en los documentos del Sistema Integrado de Gestión, mediante el tratamiento de los diversos planes de mejoramiento y el autocontrol en los procesos de la Secretaria Jurídica Distrital. Se dio la publicación a 17 documentos durante el periodo del mes de marzo.</v>
      </c>
      <c r="M76" s="279"/>
      <c r="N76" s="279"/>
      <c r="O76" s="279"/>
      <c r="P76" s="279"/>
      <c r="Q76" s="279"/>
      <c r="R76" s="279"/>
      <c r="S76" s="279"/>
      <c r="T76" s="279"/>
      <c r="U76" s="279"/>
      <c r="V76" s="279"/>
      <c r="W76" s="279"/>
      <c r="X76" s="279"/>
      <c r="Y76" s="271" t="s">
        <v>57</v>
      </c>
      <c r="Z76" s="272"/>
      <c r="AA76" s="272"/>
      <c r="AB76" s="264" cm="1">
        <f t="array" ref="AB76">_xlfn.IFS($AA$65='FORMULAS%'!AN$3,(IFERROR(AVERAGEIF(DATOS!J:J,'Con otro color'!Y76,DATOS!DE:DE),0)), $AA$65='FORMULAS%'!AN$4,(IFERROR(AVERAGEIF(DATOS!J:J,'Con otro color'!Y76,DATOS!DF:DF),0)), $AA$65='FORMULAS%'!AN$5,(IFERROR(AVERAGEIF(DATOS!J:J,'Con otro color'!Y76,DATOS!DG:DG),0)), $AA$65='FORMULAS%'!AN$6,(IFERROR(AVERAGEIF(DATOS!J:J,'Con otro color'!Y76,DATOS!DH:DH),0)), $AA$65='FORMULAS%'!AN$7,(IFERROR(AVERAGEIF(DATOS!J:J,'Con otro color'!Y76,DATOS!DI:DI),0)), $AA$65='FORMULAS%'!AN$8,(IFERROR(AVERAGEIF(DATOS!J:J,'Con otro color'!Y76,DATOS!DJ:DJ),0)), $AA$65='FORMULAS%'!AN$9,(IFERROR(AVERAGEIF(DATOS!J:J,'Con otro color'!Y76,DATOS!DK:DK),0)), $AA$65='FORMULAS%'!AN$10,(IFERROR(AVERAGEIF(DATOS!J:J,'Con otro color'!Y76,DATOS!DL:DL),0)), $AA$65='FORMULAS%'!AN$11,(IFERROR(AVERAGEIF(DATOS!J:J,'Con otro color'!Y76,DATOS!DM:DM),0)), $AA$65='FORMULAS%'!AN$12,(IFERROR(AVERAGEIF(DATOS!J:J,'Con otro color'!Y76,DATOS!DN:DN),0)), $AA$65='FORMULAS%'!AN$13,(IFERROR(AVERAGEIF(DATOS!J:J,'Con otro color'!Y76,DATOS!DO:DO),0)), $AA$65='FORMULAS%'!AN$14,(IFERROR(AVERAGEIF(DATOS!J:J,'Con otro color'!Y76,DATOS!DP:DP),0)))</f>
        <v>0</v>
      </c>
      <c r="AC76" s="272"/>
      <c r="AD76" s="265">
        <f>IFERROR(AVERAGEIF(DATOS!J:J,'Con otro color'!Y76,DATOS!DP:DP),0)</f>
        <v>0</v>
      </c>
      <c r="AE76" s="273"/>
      <c r="AF76" s="279"/>
    </row>
    <row r="77" spans="2:32" ht="21" thickBot="1" x14ac:dyDescent="0.35">
      <c r="B77" s="279"/>
      <c r="C77" s="279"/>
      <c r="D77" s="279"/>
      <c r="E77" s="68"/>
      <c r="F77" s="68"/>
      <c r="G77" s="66"/>
      <c r="H77" s="69"/>
      <c r="I77" s="61"/>
      <c r="J77" s="63" t="s">
        <v>58</v>
      </c>
      <c r="K77" s="70" t="str">
        <f>IF(N66="Decreciente",MID(K76,1,4),IF(N66="Suma",SUM(K65:K76),IF(N66="Creciente",MID(K76,1,4),IF(N66="Constante",MID(K76,1,4)))))</f>
        <v>4</v>
      </c>
      <c r="L77" s="70" t="str">
        <f>IF(N66="Decreciente",MID(L76,1,4),IF(N66="Suma",SUM(L65:L76),IF(N66="Creciente",MID(L76,1,4),IF(N66="Constante",MID(L76,1,4)))))</f>
        <v>Info</v>
      </c>
      <c r="M77" s="279"/>
      <c r="N77" s="279"/>
      <c r="O77" s="279"/>
      <c r="P77" s="279"/>
      <c r="Q77" s="279"/>
      <c r="R77" s="279"/>
      <c r="S77" s="279"/>
      <c r="T77" s="279"/>
      <c r="U77" s="279"/>
      <c r="V77" s="279"/>
      <c r="W77" s="279"/>
      <c r="X77" s="279"/>
      <c r="Y77" s="271"/>
      <c r="Z77" s="272"/>
      <c r="AA77" s="272"/>
      <c r="AB77" s="274"/>
      <c r="AC77" s="272"/>
      <c r="AD77" s="274"/>
      <c r="AE77" s="273"/>
      <c r="AF77" s="279"/>
    </row>
    <row r="78" spans="2:32" ht="21" thickBot="1" x14ac:dyDescent="0.35">
      <c r="B78" s="279"/>
      <c r="C78" s="279"/>
      <c r="D78" s="279"/>
      <c r="E78" s="279"/>
      <c r="F78" s="279"/>
      <c r="G78" s="279"/>
      <c r="H78" s="279"/>
      <c r="I78" s="279"/>
      <c r="J78" s="279"/>
      <c r="K78" s="279"/>
      <c r="L78" s="279"/>
      <c r="M78" s="279"/>
      <c r="N78" s="279"/>
      <c r="O78" s="279"/>
      <c r="P78" s="279"/>
      <c r="Q78" s="279"/>
      <c r="R78" s="279"/>
      <c r="S78" s="279"/>
      <c r="T78" s="279"/>
      <c r="U78" s="279"/>
      <c r="V78" s="279"/>
      <c r="W78" s="279"/>
      <c r="X78" s="279"/>
      <c r="Y78" s="271" t="s">
        <v>40</v>
      </c>
      <c r="Z78" s="272"/>
      <c r="AA78" s="272"/>
      <c r="AB78" s="264" cm="1">
        <f t="array" ref="AB78">_xlfn.IFS($AA$65='FORMULAS%'!AN$3,(IFERROR(AVERAGEIF(DATOS!J:J,'Con otro color'!Y78,DATOS!DE:DE),0)), $AA$65='FORMULAS%'!AN$4,(IFERROR(AVERAGEIF(DATOS!J:J,'Con otro color'!Y78,DATOS!DF:DF),0)), $AA$65='FORMULAS%'!AN$5,(IFERROR(AVERAGEIF(DATOS!J:J,'Con otro color'!Y78,DATOS!DG:DG),0)), $AA$65='FORMULAS%'!AN$6,(IFERROR(AVERAGEIF(DATOS!J:J,'Con otro color'!Y78,DATOS!DH:DH),0)), $AA$65='FORMULAS%'!AN$7,(IFERROR(AVERAGEIF(DATOS!J:J,'Con otro color'!Y78,DATOS!DI:DI),0)), $AA$65='FORMULAS%'!AN$8,(IFERROR(AVERAGEIF(DATOS!J:J,'Con otro color'!Y78,DATOS!DJ:DJ),0)), $AA$65='FORMULAS%'!AN$9,(IFERROR(AVERAGEIF(DATOS!J:J,'Con otro color'!Y78,DATOS!DK:DK),0)), $AA$65='FORMULAS%'!AN$10,(IFERROR(AVERAGEIF(DATOS!J:J,'Con otro color'!Y78,DATOS!DL:DL),0)), $AA$65='FORMULAS%'!AN$11,(IFERROR(AVERAGEIF(DATOS!J:J,'Con otro color'!Y78,DATOS!DM:DM),0)), $AA$65='FORMULAS%'!AN$12,(IFERROR(AVERAGEIF(DATOS!J:J,'Con otro color'!Y78,DATOS!DN:DN),0)), $AA$65='FORMULAS%'!AN$13,(IFERROR(AVERAGEIF(DATOS!J:J,'Con otro color'!Y78,DATOS!DO:DO),0)), $AA$65='FORMULAS%'!AN$14,(IFERROR(AVERAGEIF(DATOS!J:J,'Con otro color'!Y78,DATOS!DP:DP),0)))</f>
        <v>0.95838335334133662</v>
      </c>
      <c r="AC78" s="272"/>
      <c r="AD78" s="265">
        <f>IFERROR(AVERAGEIF(DATOS!J:J,'Con otro color'!Y78,DATOS!DP:DP),0)</f>
        <v>0.54952434994616395</v>
      </c>
      <c r="AE78" s="273"/>
      <c r="AF78" s="279"/>
    </row>
    <row r="79" spans="2:32" ht="23.25" thickBot="1" x14ac:dyDescent="0.35">
      <c r="B79" s="279"/>
      <c r="C79" s="571"/>
      <c r="D79" s="571"/>
      <c r="E79" s="217"/>
      <c r="F79" s="572" t="s">
        <v>24</v>
      </c>
      <c r="G79" s="572"/>
      <c r="H79" s="572"/>
      <c r="I79" s="217"/>
      <c r="J79" s="217"/>
      <c r="K79" s="217"/>
      <c r="L79" s="217"/>
      <c r="M79" s="217"/>
      <c r="N79" s="217"/>
      <c r="O79" s="217"/>
      <c r="P79" s="217"/>
      <c r="Q79" s="279"/>
      <c r="R79" s="279"/>
      <c r="S79" s="279"/>
      <c r="T79" s="279"/>
      <c r="U79" s="279"/>
      <c r="V79" s="279"/>
      <c r="W79" s="279"/>
      <c r="X79" s="279"/>
      <c r="Y79" s="271"/>
      <c r="Z79" s="272"/>
      <c r="AA79" s="272"/>
      <c r="AB79" s="274"/>
      <c r="AC79" s="272"/>
      <c r="AD79" s="274"/>
      <c r="AE79" s="273"/>
      <c r="AF79" s="279"/>
    </row>
    <row r="80" spans="2:32" ht="21" thickBot="1" x14ac:dyDescent="0.35">
      <c r="B80" s="279"/>
      <c r="C80" s="218"/>
      <c r="D80" s="218"/>
      <c r="E80" s="218"/>
      <c r="F80" s="218"/>
      <c r="G80" s="218"/>
      <c r="H80" s="218"/>
      <c r="I80" s="218"/>
      <c r="J80" s="218"/>
      <c r="K80" s="218"/>
      <c r="L80" s="218"/>
      <c r="M80" s="218"/>
      <c r="N80" s="218"/>
      <c r="O80" s="218"/>
      <c r="P80" s="218"/>
      <c r="Q80" s="279"/>
      <c r="R80" s="279"/>
      <c r="S80" s="279"/>
      <c r="T80" s="279"/>
      <c r="U80" s="279"/>
      <c r="V80" s="279"/>
      <c r="W80" s="279"/>
      <c r="X80" s="279"/>
      <c r="Y80" s="271" t="s">
        <v>41</v>
      </c>
      <c r="Z80" s="272"/>
      <c r="AA80" s="272"/>
      <c r="AB80" s="264" cm="1">
        <f t="array" ref="AB80">_xlfn.IFS($AA$65='FORMULAS%'!AN$3,(IFERROR(AVERAGEIF(DATOS!J:J,'Con otro color'!Y80,DATOS!DE:DE),0)), $AA$65='FORMULAS%'!AN$4,(IFERROR(AVERAGEIF(DATOS!J:J,'Con otro color'!Y80,DATOS!DF:DF),0)), $AA$65='FORMULAS%'!AN$5,(IFERROR(AVERAGEIF(DATOS!J:J,'Con otro color'!Y80,DATOS!DG:DG),0)), $AA$65='FORMULAS%'!AN$6,(IFERROR(AVERAGEIF(DATOS!J:J,'Con otro color'!Y80,DATOS!DH:DH),0)), $AA$65='FORMULAS%'!AN$7,(IFERROR(AVERAGEIF(DATOS!J:J,'Con otro color'!Y80,DATOS!DI:DI),0)), $AA$65='FORMULAS%'!AN$8,(IFERROR(AVERAGEIF(DATOS!J:J,'Con otro color'!Y80,DATOS!DJ:DJ),0)), $AA$65='FORMULAS%'!AN$9,(IFERROR(AVERAGEIF(DATOS!J:J,'Con otro color'!Y80,DATOS!DK:DK),0)), $AA$65='FORMULAS%'!AN$10,(IFERROR(AVERAGEIF(DATOS!J:J,'Con otro color'!Y80,DATOS!DL:DL),0)), $AA$65='FORMULAS%'!AN$11,(IFERROR(AVERAGEIF(DATOS!J:J,'Con otro color'!Y80,DATOS!DM:DM),0)), $AA$65='FORMULAS%'!AN$12,(IFERROR(AVERAGEIF(DATOS!J:J,'Con otro color'!Y80,DATOS!DN:DN),0)), $AA$65='FORMULAS%'!AN$13,(IFERROR(AVERAGEIF(DATOS!J:J,'Con otro color'!Y80,DATOS!DO:DO),0)), $AA$65='FORMULAS%'!AN$14,(IFERROR(AVERAGEIF(DATOS!J:J,'Con otro color'!Y80,DATOS!DP:DP),0)))</f>
        <v>1</v>
      </c>
      <c r="AC80" s="272"/>
      <c r="AD80" s="265">
        <f>IFERROR(AVERAGEIF(DATOS!J:J,'Con otro color'!Y80,DATOS!DP:DP),0)</f>
        <v>0.15</v>
      </c>
      <c r="AE80" s="273"/>
      <c r="AF80" s="279"/>
    </row>
    <row r="81" spans="2:32" ht="14.45" customHeight="1" thickBot="1" x14ac:dyDescent="0.35">
      <c r="B81" s="279"/>
      <c r="C81" s="218"/>
      <c r="D81" s="218"/>
      <c r="E81" s="218"/>
      <c r="F81" s="218"/>
      <c r="G81" s="218"/>
      <c r="H81" s="218"/>
      <c r="I81" s="218"/>
      <c r="J81" s="218"/>
      <c r="K81" s="218"/>
      <c r="L81" s="218"/>
      <c r="M81" s="218"/>
      <c r="N81" s="218"/>
      <c r="O81" s="218"/>
      <c r="P81" s="218"/>
      <c r="Q81" s="279"/>
      <c r="R81" s="279"/>
      <c r="S81" s="279"/>
      <c r="T81" s="279"/>
      <c r="U81" s="279"/>
      <c r="V81" s="279"/>
      <c r="W81" s="279"/>
      <c r="X81" s="279"/>
      <c r="Y81" s="271"/>
      <c r="Z81" s="272"/>
      <c r="AA81" s="272"/>
      <c r="AB81" s="274"/>
      <c r="AC81" s="272"/>
      <c r="AD81" s="274"/>
      <c r="AE81" s="273"/>
      <c r="AF81" s="279"/>
    </row>
    <row r="82" spans="2:32" ht="14.45" customHeight="1" thickBot="1" x14ac:dyDescent="0.35">
      <c r="B82" s="279"/>
      <c r="C82" s="533" t="str">
        <f>VLOOKUP(F51,DATOS!F:CF,MATCH('Con otro color'!F79,DATOS!F3:CF3,0),FALSE)</f>
        <v>Informe de gestión y resultados y seguimiento a plan de acción: Con el fin de apoyar la revisión y consolidación de información del Plan Operativo Anual de Inversión de la Entidad, en el mes de marzo se llevó a cabo la revisión y retroalimentación de los reportes del mes de febrero, de las dependencias encargadas de ejecutar las metas de los proyectos de inversión del Plan Distrital de Desarrollo. Al respecto y con el fin de acompañar el proceso, se realizaron ejercicios de retroalimentación necesaria para lograr información clara y oportuna. Por lo anterior, se realizó la socialización de las pautas para la presentación de informes de gestión y resultados con ocasión a la finalización del primer trimestre del año, a través del boletín interno de comunicaciones y en el grupo gestor del mes de marzo. 
Ahora bien, con ocasión al seguimiento de indicadores de la Secretaría Jurídica Distrital que aportan a los Objetivos de Desarrollo Sostenible ODS, en el mes de marzo se elaboró y remitió a la Secretaría Distrital de Planeación, el informe ODS de las 16 metas sectoriales de la Secretaría Jurídica Distrital, atendiendo lo dispuesto en la Circular 039 de 2022, así como los logros y resultados de las mismas con corte a 31 de diciembre de 2022, el cual se puede consultar a través del enlace: https://drive.google.com/drive/folders/1sgYtUv2IAl4LIeGEIsOyDrhnybbltn1r?usp=sharing
De otra parte, con el fin de propender por la mejora continua del protocolo de atención a la ciudadanía, se realizaron dos llamadas incógnitas de verificación de los canales y trámites de productos y servicios de la Entidad de cara a la ciudadanía, concluyendo que fue brindada la información de los canales de atención y de algunos trámites que realiza la Secretaría, con algunas observaciones que se tendrán en cuenta para socializar y mejorar en el futuro. La información fue contrastada con la referida en el Portafolio vigente.
Transparencia: Para el mes de marzo, se participó en la socialización de lineamientos y directrices de la medición del Índice de Transparencia de Bogotá 2022-2023 que medirá la gestión de 36 entidades en torno su gestión. Además, se adelantó la revisión de página web respecto a: acceso a enlaces, verificación de documentos con el último ente certificador, corrección de vigencias de documentos, actualización de documentos, adición de vigencias, corrección de datos y ortografía entre otros, gestión soportada en aproximadamente 75 correos de solicitudes. Así mismo, se dio lectura a los 10 capítulos del índice de transparencia de Bogotá- ITB, se identificó y descargó información que se tenía en página web y aplicativo SMART-documentos, seguidamente se procedió a realizar mesas de trabajo con las distintas dependencias para solucionar en vivo preguntas y otras que necesitaban revisión y búsqueda se remitieron a los respectivos correos electrónicos para su solución con los respectivos soportes. También se Participó en cuatro mesas de trabajo de la Secretaría General en torno a solucionar dudas e inquietudes de las distintas temáticas del ITB.
Sistema de Gestión de Calidad: Durante el mes de marzo se realizó aprobación de algunas solicitudes de eliminación, creación y actualización de la documentación necesaria para el Sistema Integrado de Gestión, en total se recibieron 17 solicitudes, de las cuales se les dio aprobación para continuar con el flujo de revisión hasta la publicación.  Además se continuo con la actualización de 30 tickets,  8 de creación y 4 de eliminación. Durante este periodo, se fortaleció la eficiencia y la economía en los documentos del Sistema Integrado de Gestión, mediante el tratamiento de los diversos planes de mejoramiento y el autocontrol en los procesos de la Secretaria Jurídica Distrital. Se dio la publicación a 17 documentos durante el periodo del mes de marzo.</v>
      </c>
      <c r="D82" s="533"/>
      <c r="E82" s="533"/>
      <c r="F82" s="533"/>
      <c r="G82" s="533"/>
      <c r="H82" s="533"/>
      <c r="I82" s="533"/>
      <c r="J82" s="533"/>
      <c r="K82" s="533"/>
      <c r="L82" s="533"/>
      <c r="M82" s="533"/>
      <c r="N82" s="533"/>
      <c r="O82" s="533"/>
      <c r="P82" s="533"/>
      <c r="Q82" s="279"/>
      <c r="R82" s="279"/>
      <c r="S82" s="279"/>
      <c r="T82" s="279"/>
      <c r="U82" s="279"/>
      <c r="V82" s="279"/>
      <c r="W82" s="279"/>
      <c r="X82" s="279"/>
      <c r="Y82" s="271" t="s">
        <v>59</v>
      </c>
      <c r="Z82" s="272"/>
      <c r="AA82" s="272"/>
      <c r="AB82" s="264" cm="1">
        <f t="array" ref="AB82">_xlfn.IFS($AA$65='FORMULAS%'!AN$3,(IFERROR(AVERAGEIF(DATOS!J:J,'Con otro color'!Y82,DATOS!DE:DE),0)), $AA$65='FORMULAS%'!AN$4,(IFERROR(AVERAGEIF(DATOS!J:J,'Con otro color'!Y82,DATOS!DF:DF),0)), $AA$65='FORMULAS%'!AN$5,(IFERROR(AVERAGEIF(DATOS!J:J,'Con otro color'!Y82,DATOS!DG:DG),0)), $AA$65='FORMULAS%'!AN$6,(IFERROR(AVERAGEIF(DATOS!J:J,'Con otro color'!Y82,DATOS!DH:DH),0)), $AA$65='FORMULAS%'!AN$7,(IFERROR(AVERAGEIF(DATOS!J:J,'Con otro color'!Y82,DATOS!DI:DI),0)), $AA$65='FORMULAS%'!AN$8,(IFERROR(AVERAGEIF(DATOS!J:J,'Con otro color'!Y82,DATOS!DJ:DJ),0)), $AA$65='FORMULAS%'!AN$9,(IFERROR(AVERAGEIF(DATOS!J:J,'Con otro color'!Y82,DATOS!DK:DK),0)), $AA$65='FORMULAS%'!AN$10,(IFERROR(AVERAGEIF(DATOS!J:J,'Con otro color'!Y82,DATOS!DL:DL),0)), $AA$65='FORMULAS%'!AN$11,(IFERROR(AVERAGEIF(DATOS!J:J,'Con otro color'!Y82,DATOS!DM:DM),0)), $AA$65='FORMULAS%'!AN$12,(IFERROR(AVERAGEIF(DATOS!J:J,'Con otro color'!Y82,DATOS!DN:DN),0)), $AA$65='FORMULAS%'!AN$13,(IFERROR(AVERAGEIF(DATOS!J:J,'Con otro color'!Y82,DATOS!DO:DO),0)), $AA$65='FORMULAS%'!AN$14,(IFERROR(AVERAGEIF(DATOS!J:J,'Con otro color'!Y82,DATOS!DP:DP),0)))</f>
        <v>0</v>
      </c>
      <c r="AC82" s="272"/>
      <c r="AD82" s="265">
        <f>IFERROR(AVERAGEIF(DATOS!J:J,'Con otro color'!Y82,DATOS!DP:DP),0)</f>
        <v>0</v>
      </c>
      <c r="AE82" s="273"/>
      <c r="AF82" s="279"/>
    </row>
    <row r="83" spans="2:32" ht="14.45" customHeight="1" thickBot="1" x14ac:dyDescent="0.35">
      <c r="B83" s="279"/>
      <c r="C83" s="533"/>
      <c r="D83" s="533"/>
      <c r="E83" s="533"/>
      <c r="F83" s="533"/>
      <c r="G83" s="533"/>
      <c r="H83" s="533"/>
      <c r="I83" s="533"/>
      <c r="J83" s="533"/>
      <c r="K83" s="533"/>
      <c r="L83" s="533"/>
      <c r="M83" s="533"/>
      <c r="N83" s="533"/>
      <c r="O83" s="533"/>
      <c r="P83" s="533"/>
      <c r="Q83" s="48"/>
      <c r="R83" s="48"/>
      <c r="S83" s="48"/>
      <c r="T83" s="48"/>
      <c r="U83" s="48"/>
      <c r="V83" s="279"/>
      <c r="W83" s="279"/>
      <c r="X83" s="279"/>
      <c r="Y83" s="275"/>
      <c r="Z83" s="276"/>
      <c r="AA83" s="276"/>
      <c r="AB83" s="277"/>
      <c r="AC83" s="276"/>
      <c r="AD83" s="277"/>
      <c r="AE83" s="278"/>
      <c r="AF83" s="279"/>
    </row>
    <row r="84" spans="2:32" ht="14.45" customHeight="1" thickBot="1" x14ac:dyDescent="0.35">
      <c r="B84" s="279"/>
      <c r="C84" s="533"/>
      <c r="D84" s="533"/>
      <c r="E84" s="533"/>
      <c r="F84" s="533"/>
      <c r="G84" s="533"/>
      <c r="H84" s="533"/>
      <c r="I84" s="533"/>
      <c r="J84" s="533"/>
      <c r="K84" s="533"/>
      <c r="L84" s="533"/>
      <c r="M84" s="533"/>
      <c r="N84" s="533"/>
      <c r="O84" s="533"/>
      <c r="P84" s="533"/>
      <c r="Q84" s="48"/>
      <c r="R84" s="48"/>
      <c r="S84" s="48"/>
      <c r="T84" s="48"/>
      <c r="U84" s="48"/>
      <c r="V84" s="279"/>
      <c r="W84" s="279"/>
      <c r="X84" s="279"/>
      <c r="Y84" s="8"/>
      <c r="Z84" s="245"/>
      <c r="AA84" s="9"/>
      <c r="AB84" s="10"/>
      <c r="AC84" s="9"/>
      <c r="AD84" s="10"/>
      <c r="AE84" s="2"/>
      <c r="AF84" s="279"/>
    </row>
    <row r="85" spans="2:32" ht="14.45" customHeight="1" thickBot="1" x14ac:dyDescent="0.35">
      <c r="B85" s="279"/>
      <c r="C85" s="533"/>
      <c r="D85" s="533"/>
      <c r="E85" s="533"/>
      <c r="F85" s="533"/>
      <c r="G85" s="533"/>
      <c r="H85" s="533"/>
      <c r="I85" s="533"/>
      <c r="J85" s="533"/>
      <c r="K85" s="533"/>
      <c r="L85" s="533"/>
      <c r="M85" s="533"/>
      <c r="N85" s="533"/>
      <c r="O85" s="533"/>
      <c r="P85" s="533"/>
      <c r="Q85" s="48"/>
      <c r="R85" s="48"/>
      <c r="S85" s="48"/>
      <c r="T85" s="48"/>
      <c r="U85" s="48"/>
      <c r="V85" s="279"/>
      <c r="W85" s="279"/>
      <c r="X85" s="279"/>
      <c r="Y85" s="11"/>
      <c r="Z85" s="12"/>
      <c r="AA85" s="12"/>
      <c r="AB85" s="13"/>
      <c r="AC85" s="12"/>
      <c r="AD85" s="13"/>
      <c r="AE85" s="14"/>
      <c r="AF85" s="279"/>
    </row>
    <row r="86" spans="2:32" ht="25.35" customHeight="1" thickBot="1" x14ac:dyDescent="0.35">
      <c r="B86" s="279"/>
      <c r="C86" s="533"/>
      <c r="D86" s="533"/>
      <c r="E86" s="533"/>
      <c r="F86" s="533"/>
      <c r="G86" s="533"/>
      <c r="H86" s="533"/>
      <c r="I86" s="533"/>
      <c r="J86" s="533"/>
      <c r="K86" s="533"/>
      <c r="L86" s="533"/>
      <c r="M86" s="533"/>
      <c r="N86" s="533"/>
      <c r="O86" s="533"/>
      <c r="P86" s="533"/>
      <c r="Q86" s="48"/>
      <c r="R86" s="48"/>
      <c r="S86" s="48"/>
      <c r="T86" s="48"/>
      <c r="U86" s="48"/>
      <c r="V86" s="279"/>
      <c r="W86" s="279"/>
      <c r="X86" s="279"/>
      <c r="Y86" s="15" t="s">
        <v>43</v>
      </c>
      <c r="Z86" s="16"/>
      <c r="AA86" s="16"/>
      <c r="AB86" s="264" cm="1">
        <f t="array" ref="AB86">_xlfn.IFS($AA$65='FORMULAS%'!AN$3,(IFERROR(AVERAGEIF(DATOS!J:J,'Con otro color'!Y86,DATOS!DE:DE),0)), $AA$65='FORMULAS%'!AN$4,(IFERROR(AVERAGEIF(DATOS!J:J,'Con otro color'!Y86,DATOS!DF:DF),0)), $AA$65='FORMULAS%'!AN$5,(IFERROR(AVERAGEIF(DATOS!J:J,'Con otro color'!Y86,DATOS!DG:DG),0)), $AA$65='FORMULAS%'!AN$6,(IFERROR(AVERAGEIF(DATOS!J:J,'Con otro color'!Y86,DATOS!DH:DH),0)), $AA$65='FORMULAS%'!AN$7,(IFERROR(AVERAGEIF(DATOS!J:J,'Con otro color'!Y86,DATOS!DI:DI),0)), $AA$65='FORMULAS%'!AN$8,(IFERROR(AVERAGEIF(DATOS!J:J,'Con otro color'!Y86,DATOS!DJ:DJ),0)), $AA$65='FORMULAS%'!AN$9,(IFERROR(AVERAGEIF(DATOS!J:J,'Con otro color'!Y86,DATOS!DK:DK),0)), $AA$65='FORMULAS%'!AN$10,(IFERROR(AVERAGEIF(DATOS!J:J,'Con otro color'!Y86,DATOS!DL:DL),0)), $AA$65='FORMULAS%'!AN$11,(IFERROR(AVERAGEIF(DATOS!J:J,'Con otro color'!Y86,DATOS!DM:DM),0)), $AA$65='FORMULAS%'!AN$12,(IFERROR(AVERAGEIF(DATOS!J:J,'Con otro color'!Y86,DATOS!DN:DN),0)), $AA$65='FORMULAS%'!AN$13,(IFERROR(AVERAGEIF(DATOS!J:J,'Con otro color'!Y86,DATOS!DO:DO),0)), $AA$65='FORMULAS%'!AN$14,(IFERROR(AVERAGEIF(DATOS!J:J,'Con otro color'!Y86,DATOS!DP:DP),0)))</f>
        <v>0.79499999999999993</v>
      </c>
      <c r="AC86" s="16"/>
      <c r="AD86" s="265">
        <f>IFERROR(AVERAGEIF(DATOS!J:J,'Con otro color'!Y86,DATOS!DP:DP),0)</f>
        <v>0.60070054945054951</v>
      </c>
      <c r="AE86" s="17"/>
      <c r="AF86" s="279"/>
    </row>
    <row r="87" spans="2:32" ht="14.45" customHeight="1" thickBot="1" x14ac:dyDescent="0.35">
      <c r="B87" s="279"/>
      <c r="C87" s="533"/>
      <c r="D87" s="533"/>
      <c r="E87" s="533"/>
      <c r="F87" s="533"/>
      <c r="G87" s="533"/>
      <c r="H87" s="533"/>
      <c r="I87" s="533"/>
      <c r="J87" s="533"/>
      <c r="K87" s="533"/>
      <c r="L87" s="533"/>
      <c r="M87" s="533"/>
      <c r="N87" s="533"/>
      <c r="O87" s="533"/>
      <c r="P87" s="533"/>
      <c r="Q87" s="48"/>
      <c r="R87" s="48"/>
      <c r="S87" s="48"/>
      <c r="T87" s="48"/>
      <c r="U87" s="48"/>
      <c r="V87" s="279"/>
      <c r="W87" s="279"/>
      <c r="X87" s="279"/>
      <c r="Y87" s="15"/>
      <c r="Z87" s="16"/>
      <c r="AA87" s="16"/>
      <c r="AB87" s="18"/>
      <c r="AC87" s="16"/>
      <c r="AD87" s="18"/>
      <c r="AE87" s="17"/>
      <c r="AF87" s="279"/>
    </row>
    <row r="88" spans="2:32" ht="32.1" customHeight="1" thickBot="1" x14ac:dyDescent="0.35">
      <c r="B88" s="279"/>
      <c r="C88" s="533"/>
      <c r="D88" s="533"/>
      <c r="E88" s="533"/>
      <c r="F88" s="533"/>
      <c r="G88" s="533"/>
      <c r="H88" s="533"/>
      <c r="I88" s="533"/>
      <c r="J88" s="533"/>
      <c r="K88" s="533"/>
      <c r="L88" s="533"/>
      <c r="M88" s="533"/>
      <c r="N88" s="533"/>
      <c r="O88" s="533"/>
      <c r="P88" s="533"/>
      <c r="Q88" s="48"/>
      <c r="R88" s="48"/>
      <c r="S88" s="48"/>
      <c r="T88" s="48"/>
      <c r="U88" s="48"/>
      <c r="V88" s="279"/>
      <c r="W88" s="279"/>
      <c r="X88" s="279"/>
      <c r="Y88" s="15" t="s">
        <v>44</v>
      </c>
      <c r="Z88" s="16"/>
      <c r="AA88" s="16"/>
      <c r="AB88" s="264" cm="1">
        <f t="array" ref="AB88">_xlfn.IFS($AA$65='FORMULAS%'!AN$3,(IFERROR(AVERAGEIF(DATOS!J:J,'Con otro color'!Y88,DATOS!DE:DE),0)), $AA$65='FORMULAS%'!AN$4,(IFERROR(AVERAGEIF(DATOS!J:J,'Con otro color'!Y88,DATOS!DF:DF),0)), $AA$65='FORMULAS%'!AN$5,(IFERROR(AVERAGEIF(DATOS!J:J,'Con otro color'!Y88,DATOS!DG:DG),0)), $AA$65='FORMULAS%'!AN$6,(IFERROR(AVERAGEIF(DATOS!J:J,'Con otro color'!Y88,DATOS!DH:DH),0)), $AA$65='FORMULAS%'!AN$7,(IFERROR(AVERAGEIF(DATOS!J:J,'Con otro color'!Y88,DATOS!DI:DI),0)), $AA$65='FORMULAS%'!AN$8,(IFERROR(AVERAGEIF(DATOS!J:J,'Con otro color'!Y88,DATOS!DJ:DJ),0)), $AA$65='FORMULAS%'!AN$9,(IFERROR(AVERAGEIF(DATOS!J:J,'Con otro color'!Y88,DATOS!DK:DK),0)), $AA$65='FORMULAS%'!AN$10,(IFERROR(AVERAGEIF(DATOS!J:J,'Con otro color'!Y88,DATOS!DL:DL),0)), $AA$65='FORMULAS%'!AN$11,(IFERROR(AVERAGEIF(DATOS!J:J,'Con otro color'!Y88,DATOS!DM:DM),0)), $AA$65='FORMULAS%'!AN$12,(IFERROR(AVERAGEIF(DATOS!J:J,'Con otro color'!Y88,DATOS!DN:DN),0)), $AA$65='FORMULAS%'!AN$13,(IFERROR(AVERAGEIF(DATOS!J:J,'Con otro color'!Y88,DATOS!DO:DO),0)), $AA$65='FORMULAS%'!AN$14,(IFERROR(AVERAGEIF(DATOS!J:J,'Con otro color'!Y88,DATOS!DP:DP),0)))</f>
        <v>0.77927927927927931</v>
      </c>
      <c r="AC88" s="16"/>
      <c r="AD88" s="265">
        <f>IFERROR(AVERAGEIF(DATOS!J:J,'Con otro color'!Y88,DATOS!DP:DP),0)</f>
        <v>0.27534999999999998</v>
      </c>
      <c r="AE88" s="17"/>
      <c r="AF88" s="279"/>
    </row>
    <row r="89" spans="2:32" ht="14.45" customHeight="1" thickBot="1" x14ac:dyDescent="0.35">
      <c r="B89" s="279"/>
      <c r="C89" s="533"/>
      <c r="D89" s="533"/>
      <c r="E89" s="533"/>
      <c r="F89" s="533"/>
      <c r="G89" s="533"/>
      <c r="H89" s="533"/>
      <c r="I89" s="533"/>
      <c r="J89" s="533"/>
      <c r="K89" s="533"/>
      <c r="L89" s="533"/>
      <c r="M89" s="533"/>
      <c r="N89" s="533"/>
      <c r="O89" s="533"/>
      <c r="P89" s="533"/>
      <c r="Q89" s="48"/>
      <c r="R89" s="48"/>
      <c r="S89" s="48"/>
      <c r="T89" s="48"/>
      <c r="U89" s="48"/>
      <c r="V89" s="279"/>
      <c r="W89" s="279"/>
      <c r="X89" s="279"/>
      <c r="Y89" s="15"/>
      <c r="Z89" s="16"/>
      <c r="AA89" s="16"/>
      <c r="AB89" s="18"/>
      <c r="AC89" s="16"/>
      <c r="AD89" s="18"/>
      <c r="AE89" s="17"/>
      <c r="AF89" s="279"/>
    </row>
    <row r="90" spans="2:32" ht="37.35" customHeight="1" thickBot="1" x14ac:dyDescent="0.35">
      <c r="B90" s="279"/>
      <c r="C90" s="533"/>
      <c r="D90" s="533"/>
      <c r="E90" s="533"/>
      <c r="F90" s="533"/>
      <c r="G90" s="533"/>
      <c r="H90" s="533"/>
      <c r="I90" s="533"/>
      <c r="J90" s="533"/>
      <c r="K90" s="533"/>
      <c r="L90" s="533"/>
      <c r="M90" s="533"/>
      <c r="N90" s="533"/>
      <c r="O90" s="533"/>
      <c r="P90" s="533"/>
      <c r="Q90" s="48"/>
      <c r="R90" s="48"/>
      <c r="S90" s="48"/>
      <c r="T90" s="48"/>
      <c r="U90" s="48"/>
      <c r="V90" s="279"/>
      <c r="W90" s="279"/>
      <c r="X90" s="279"/>
      <c r="Y90" s="15" t="s">
        <v>60</v>
      </c>
      <c r="Z90" s="16"/>
      <c r="AA90" s="16"/>
      <c r="AB90" s="264" cm="1">
        <f t="array" ref="AB90">_xlfn.IFS($AA$65='FORMULAS%'!AN$3,(IFERROR(AVERAGEIF(DATOS!J:J,'Con otro color'!Y90,DATOS!DE:DE),0)), $AA$65='FORMULAS%'!AN$4,(IFERROR(AVERAGEIF(DATOS!J:J,'Con otro color'!Y90,DATOS!DF:DF),0)), $AA$65='FORMULAS%'!AN$5,(IFERROR(AVERAGEIF(DATOS!J:J,'Con otro color'!Y90,DATOS!DG:DG),0)), $AA$65='FORMULAS%'!AN$6,(IFERROR(AVERAGEIF(DATOS!J:J,'Con otro color'!Y90,DATOS!DH:DH),0)), $AA$65='FORMULAS%'!AN$7,(IFERROR(AVERAGEIF(DATOS!J:J,'Con otro color'!Y90,DATOS!DI:DI),0)), $AA$65='FORMULAS%'!AN$8,(IFERROR(AVERAGEIF(DATOS!J:J,'Con otro color'!Y90,DATOS!DJ:DJ),0)), $AA$65='FORMULAS%'!AN$9,(IFERROR(AVERAGEIF(DATOS!J:J,'Con otro color'!Y90,DATOS!DK:DK),0)), $AA$65='FORMULAS%'!AN$10,(IFERROR(AVERAGEIF(DATOS!J:J,'Con otro color'!Y90,DATOS!DL:DL),0)), $AA$65='FORMULAS%'!AN$11,(IFERROR(AVERAGEIF(DATOS!J:J,'Con otro color'!Y90,DATOS!DM:DM),0)), $AA$65='FORMULAS%'!AN$12,(IFERROR(AVERAGEIF(DATOS!J:J,'Con otro color'!Y90,DATOS!DN:DN),0)), $AA$65='FORMULAS%'!AN$13,(IFERROR(AVERAGEIF(DATOS!J:J,'Con otro color'!Y90,DATOS!DO:DO),0)), $AA$65='FORMULAS%'!AN$14,(IFERROR(AVERAGEIF(DATOS!J:J,'Con otro color'!Y90,DATOS!DP:DP),0)))</f>
        <v>0</v>
      </c>
      <c r="AC90" s="16"/>
      <c r="AD90" s="265">
        <f>IFERROR(AVERAGEIF(DATOS!J:J,'Con otro color'!Y90,DATOS!DP:DP),0)</f>
        <v>0</v>
      </c>
      <c r="AE90" s="17"/>
      <c r="AF90" s="279"/>
    </row>
    <row r="91" spans="2:32" ht="14.45" customHeight="1" thickBot="1" x14ac:dyDescent="0.35">
      <c r="B91" s="279"/>
      <c r="C91" s="533"/>
      <c r="D91" s="533"/>
      <c r="E91" s="533"/>
      <c r="F91" s="533"/>
      <c r="G91" s="533"/>
      <c r="H91" s="533"/>
      <c r="I91" s="533"/>
      <c r="J91" s="533"/>
      <c r="K91" s="533"/>
      <c r="L91" s="533"/>
      <c r="M91" s="533"/>
      <c r="N91" s="533"/>
      <c r="O91" s="533"/>
      <c r="P91" s="533"/>
      <c r="Q91" s="48"/>
      <c r="R91" s="48"/>
      <c r="S91" s="48"/>
      <c r="T91" s="48"/>
      <c r="U91" s="48"/>
      <c r="V91" s="279"/>
      <c r="W91" s="279"/>
      <c r="X91" s="279"/>
      <c r="Y91" s="15"/>
      <c r="Z91" s="16"/>
      <c r="AA91" s="16"/>
      <c r="AB91" s="18"/>
      <c r="AC91" s="16"/>
      <c r="AD91" s="18"/>
      <c r="AE91" s="17"/>
      <c r="AF91" s="279"/>
    </row>
    <row r="92" spans="2:32" ht="28.35" customHeight="1" thickBot="1" x14ac:dyDescent="0.35">
      <c r="B92" s="279"/>
      <c r="C92" s="533"/>
      <c r="D92" s="533"/>
      <c r="E92" s="533"/>
      <c r="F92" s="533"/>
      <c r="G92" s="533"/>
      <c r="H92" s="533"/>
      <c r="I92" s="533"/>
      <c r="J92" s="533"/>
      <c r="K92" s="533"/>
      <c r="L92" s="533"/>
      <c r="M92" s="533"/>
      <c r="N92" s="533"/>
      <c r="O92" s="533"/>
      <c r="P92" s="533"/>
      <c r="Q92" s="48"/>
      <c r="R92" s="48"/>
      <c r="S92" s="48"/>
      <c r="T92" s="48"/>
      <c r="U92" s="48"/>
      <c r="V92" s="279"/>
      <c r="W92" s="279"/>
      <c r="X92" s="279"/>
      <c r="Y92" s="15" t="s">
        <v>46</v>
      </c>
      <c r="Z92" s="16"/>
      <c r="AA92" s="16"/>
      <c r="AB92" s="264" cm="1">
        <f t="array" ref="AB92">_xlfn.IFS($AA$65='FORMULAS%'!AN$3,(IFERROR(AVERAGEIF(DATOS!J:J,'Con otro color'!Y92,DATOS!DE:DE),0)), $AA$65='FORMULAS%'!AN$4,(IFERROR(AVERAGEIF(DATOS!J:J,'Con otro color'!Y92,DATOS!DF:DF),0)), $AA$65='FORMULAS%'!AN$5,(IFERROR(AVERAGEIF(DATOS!J:J,'Con otro color'!Y92,DATOS!DG:DG),0)), $AA$65='FORMULAS%'!AN$6,(IFERROR(AVERAGEIF(DATOS!J:J,'Con otro color'!Y92,DATOS!DH:DH),0)), $AA$65='FORMULAS%'!AN$7,(IFERROR(AVERAGEIF(DATOS!J:J,'Con otro color'!Y92,DATOS!DI:DI),0)), $AA$65='FORMULAS%'!AN$8,(IFERROR(AVERAGEIF(DATOS!J:J,'Con otro color'!Y92,DATOS!DJ:DJ),0)), $AA$65='FORMULAS%'!AN$9,(IFERROR(AVERAGEIF(DATOS!J:J,'Con otro color'!Y92,DATOS!DK:DK),0)), $AA$65='FORMULAS%'!AN$10,(IFERROR(AVERAGEIF(DATOS!J:J,'Con otro color'!Y92,DATOS!DL:DL),0)), $AA$65='FORMULAS%'!AN$11,(IFERROR(AVERAGEIF(DATOS!J:J,'Con otro color'!Y92,DATOS!DM:DM),0)), $AA$65='FORMULAS%'!AN$12,(IFERROR(AVERAGEIF(DATOS!J:J,'Con otro color'!Y92,DATOS!DN:DN),0)), $AA$65='FORMULAS%'!AN$13,(IFERROR(AVERAGEIF(DATOS!J:J,'Con otro color'!Y92,DATOS!DO:DO),0)), $AA$65='FORMULAS%'!AN$14,(IFERROR(AVERAGEIF(DATOS!J:J,'Con otro color'!Y92,DATOS!DP:DP),0)))</f>
        <v>3.4005944277709395</v>
      </c>
      <c r="AC92" s="16"/>
      <c r="AD92" s="265">
        <f>IFERROR(AVERAGEIF(DATOS!J:J,'Con otro color'!Y92,DATOS!DP:DP),0)</f>
        <v>1.4167463257519139</v>
      </c>
      <c r="AE92" s="17"/>
      <c r="AF92" s="279"/>
    </row>
    <row r="93" spans="2:32" ht="14.45" customHeight="1" thickBot="1" x14ac:dyDescent="0.35">
      <c r="B93" s="279"/>
      <c r="C93" s="533"/>
      <c r="D93" s="533"/>
      <c r="E93" s="533"/>
      <c r="F93" s="533"/>
      <c r="G93" s="533"/>
      <c r="H93" s="533"/>
      <c r="I93" s="533"/>
      <c r="J93" s="533"/>
      <c r="K93" s="533"/>
      <c r="L93" s="533"/>
      <c r="M93" s="533"/>
      <c r="N93" s="533"/>
      <c r="O93" s="533"/>
      <c r="P93" s="533"/>
      <c r="Q93" s="48"/>
      <c r="R93" s="48"/>
      <c r="S93" s="48"/>
      <c r="T93" s="48"/>
      <c r="U93" s="48"/>
      <c r="V93" s="279"/>
      <c r="W93" s="279"/>
      <c r="X93" s="279"/>
      <c r="Y93" s="15"/>
      <c r="Z93" s="16"/>
      <c r="AA93" s="16"/>
      <c r="AB93" s="18"/>
      <c r="AC93" s="16"/>
      <c r="AD93" s="18"/>
      <c r="AE93" s="17"/>
      <c r="AF93" s="279"/>
    </row>
    <row r="94" spans="2:32" ht="25.35" customHeight="1" thickBot="1" x14ac:dyDescent="0.35">
      <c r="B94" s="279"/>
      <c r="C94" s="533"/>
      <c r="D94" s="533"/>
      <c r="E94" s="533"/>
      <c r="F94" s="533"/>
      <c r="G94" s="533"/>
      <c r="H94" s="533"/>
      <c r="I94" s="533"/>
      <c r="J94" s="533"/>
      <c r="K94" s="533"/>
      <c r="L94" s="533"/>
      <c r="M94" s="533"/>
      <c r="N94" s="533"/>
      <c r="O94" s="533"/>
      <c r="P94" s="533"/>
      <c r="Q94" s="48"/>
      <c r="R94" s="48"/>
      <c r="S94" s="48"/>
      <c r="T94" s="48"/>
      <c r="U94" s="48"/>
      <c r="V94" s="279"/>
      <c r="W94" s="279"/>
      <c r="X94" s="279"/>
      <c r="Y94" s="15" t="s">
        <v>47</v>
      </c>
      <c r="Z94" s="16"/>
      <c r="AA94" s="16"/>
      <c r="AB94" s="264" cm="1">
        <f t="array" ref="AB94">_xlfn.IFS($AA$65='FORMULAS%'!AN$3,(IFERROR(AVERAGEIF(DATOS!J:J,'Con otro color'!Y94,DATOS!DE:DE),0)), $AA$65='FORMULAS%'!AN$4,(IFERROR(AVERAGEIF(DATOS!J:J,'Con otro color'!Y94,DATOS!DF:DF),0)), $AA$65='FORMULAS%'!AN$5,(IFERROR(AVERAGEIF(DATOS!J:J,'Con otro color'!Y94,DATOS!DG:DG),0)), $AA$65='FORMULAS%'!AN$6,(IFERROR(AVERAGEIF(DATOS!J:J,'Con otro color'!Y94,DATOS!DH:DH),0)), $AA$65='FORMULAS%'!AN$7,(IFERROR(AVERAGEIF(DATOS!J:J,'Con otro color'!Y94,DATOS!DI:DI),0)), $AA$65='FORMULAS%'!AN$8,(IFERROR(AVERAGEIF(DATOS!J:J,'Con otro color'!Y94,DATOS!DJ:DJ),0)), $AA$65='FORMULAS%'!AN$9,(IFERROR(AVERAGEIF(DATOS!J:J,'Con otro color'!Y94,DATOS!DK:DK),0)), $AA$65='FORMULAS%'!AN$10,(IFERROR(AVERAGEIF(DATOS!J:J,'Con otro color'!Y94,DATOS!DL:DL),0)), $AA$65='FORMULAS%'!AN$11,(IFERROR(AVERAGEIF(DATOS!J:J,'Con otro color'!Y94,DATOS!DM:DM),0)), $AA$65='FORMULAS%'!AN$12,(IFERROR(AVERAGEIF(DATOS!J:J,'Con otro color'!Y94,DATOS!DN:DN),0)), $AA$65='FORMULAS%'!AN$13,(IFERROR(AVERAGEIF(DATOS!J:J,'Con otro color'!Y94,DATOS!DO:DO),0)), $AA$65='FORMULAS%'!AN$14,(IFERROR(AVERAGEIF(DATOS!J:J,'Con otro color'!Y94,DATOS!DP:DP),0)))</f>
        <v>1.0424891701638013</v>
      </c>
      <c r="AC94" s="16"/>
      <c r="AD94" s="265">
        <f>IFERROR(AVERAGEIF(DATOS!J:J,'Con otro color'!Y94,DATOS!DP:DP),0)</f>
        <v>0.6792853154189793</v>
      </c>
      <c r="AE94" s="17"/>
      <c r="AF94" s="279"/>
    </row>
    <row r="95" spans="2:32" ht="14.45" customHeight="1" x14ac:dyDescent="0.3">
      <c r="B95" s="279"/>
      <c r="C95" s="533"/>
      <c r="D95" s="533"/>
      <c r="E95" s="533"/>
      <c r="F95" s="533"/>
      <c r="G95" s="533"/>
      <c r="H95" s="533"/>
      <c r="I95" s="533"/>
      <c r="J95" s="533"/>
      <c r="K95" s="533"/>
      <c r="L95" s="533"/>
      <c r="M95" s="533"/>
      <c r="N95" s="533"/>
      <c r="O95" s="533"/>
      <c r="P95" s="533"/>
      <c r="Q95" s="48"/>
      <c r="R95" s="48"/>
      <c r="S95" s="48"/>
      <c r="T95" s="48"/>
      <c r="U95" s="48"/>
      <c r="V95" s="279"/>
      <c r="W95" s="279"/>
      <c r="X95" s="279"/>
      <c r="Y95" s="15"/>
      <c r="Z95" s="16"/>
      <c r="AA95" s="16"/>
      <c r="AB95" s="18"/>
      <c r="AC95" s="16"/>
      <c r="AD95" s="18"/>
      <c r="AE95" s="17"/>
      <c r="AF95" s="279"/>
    </row>
    <row r="96" spans="2:32" ht="14.45" customHeight="1" thickBot="1" x14ac:dyDescent="0.35">
      <c r="B96" s="279"/>
      <c r="C96" s="533"/>
      <c r="D96" s="533"/>
      <c r="E96" s="533"/>
      <c r="F96" s="533"/>
      <c r="G96" s="533"/>
      <c r="H96" s="533"/>
      <c r="I96" s="533"/>
      <c r="J96" s="533"/>
      <c r="K96" s="533"/>
      <c r="L96" s="533"/>
      <c r="M96" s="533"/>
      <c r="N96" s="533"/>
      <c r="O96" s="533"/>
      <c r="P96" s="533"/>
      <c r="Q96" s="48"/>
      <c r="R96" s="48"/>
      <c r="S96" s="48"/>
      <c r="T96" s="48"/>
      <c r="U96" s="48"/>
      <c r="V96" s="279"/>
      <c r="W96" s="279"/>
      <c r="X96" s="279"/>
      <c r="Y96" s="19"/>
      <c r="Z96" s="20"/>
      <c r="AA96" s="20"/>
      <c r="AB96" s="21"/>
      <c r="AC96" s="20"/>
      <c r="AD96" s="21"/>
      <c r="AE96" s="22"/>
      <c r="AF96" s="279"/>
    </row>
    <row r="97" spans="2:32" ht="20.45" customHeight="1" thickBot="1" x14ac:dyDescent="0.35">
      <c r="B97" s="279"/>
      <c r="C97" s="533"/>
      <c r="D97" s="533"/>
      <c r="E97" s="533"/>
      <c r="F97" s="533"/>
      <c r="G97" s="533"/>
      <c r="H97" s="533"/>
      <c r="I97" s="533"/>
      <c r="J97" s="533"/>
      <c r="K97" s="533"/>
      <c r="L97" s="533"/>
      <c r="M97" s="533"/>
      <c r="N97" s="533"/>
      <c r="O97" s="533"/>
      <c r="P97" s="533"/>
      <c r="Q97" s="48"/>
      <c r="R97" s="48"/>
      <c r="S97" s="48"/>
      <c r="T97" s="48"/>
      <c r="U97" s="48"/>
      <c r="V97" s="279"/>
      <c r="W97" s="279"/>
      <c r="X97" s="279"/>
      <c r="Y97" s="8"/>
      <c r="Z97" s="245"/>
      <c r="AA97" s="9"/>
      <c r="AB97" s="23"/>
      <c r="AC97" s="9"/>
      <c r="AD97" s="23"/>
      <c r="AE97" s="2"/>
      <c r="AF97" s="279"/>
    </row>
    <row r="98" spans="2:32" ht="14.45" customHeight="1" thickBot="1" x14ac:dyDescent="0.35">
      <c r="B98" s="279"/>
      <c r="C98" s="533"/>
      <c r="D98" s="533"/>
      <c r="E98" s="533"/>
      <c r="F98" s="533"/>
      <c r="G98" s="533"/>
      <c r="H98" s="533"/>
      <c r="I98" s="533"/>
      <c r="J98" s="533"/>
      <c r="K98" s="533"/>
      <c r="L98" s="533"/>
      <c r="M98" s="533"/>
      <c r="N98" s="533"/>
      <c r="O98" s="533"/>
      <c r="P98" s="533"/>
      <c r="Q98" s="48"/>
      <c r="R98" s="48"/>
      <c r="S98" s="48"/>
      <c r="T98" s="48"/>
      <c r="U98" s="48"/>
      <c r="V98" s="279"/>
      <c r="W98" s="279"/>
      <c r="X98" s="279"/>
      <c r="Y98" s="24"/>
      <c r="Z98" s="25"/>
      <c r="AA98" s="25"/>
      <c r="AB98" s="26"/>
      <c r="AC98" s="25"/>
      <c r="AD98" s="26"/>
      <c r="AE98" s="27"/>
      <c r="AF98" s="279"/>
    </row>
    <row r="99" spans="2:32" ht="14.45" customHeight="1" thickBot="1" x14ac:dyDescent="0.35">
      <c r="B99" s="279"/>
      <c r="C99" s="533"/>
      <c r="D99" s="533"/>
      <c r="E99" s="533"/>
      <c r="F99" s="533"/>
      <c r="G99" s="533"/>
      <c r="H99" s="533"/>
      <c r="I99" s="533"/>
      <c r="J99" s="533"/>
      <c r="K99" s="533"/>
      <c r="L99" s="533"/>
      <c r="M99" s="533"/>
      <c r="N99" s="533"/>
      <c r="O99" s="533"/>
      <c r="P99" s="533"/>
      <c r="Q99" s="279"/>
      <c r="R99" s="279"/>
      <c r="S99" s="279"/>
      <c r="T99" s="279"/>
      <c r="U99" s="279"/>
      <c r="V99" s="279"/>
      <c r="W99" s="279"/>
      <c r="X99" s="279"/>
      <c r="Y99" s="28" t="s">
        <v>48</v>
      </c>
      <c r="Z99" s="29"/>
      <c r="AA99" s="29"/>
      <c r="AB99" s="264" cm="1">
        <f t="array" ref="AB99">_xlfn.IFS($AA$65='FORMULAS%'!AN$3,(IFERROR(AVERAGEIF(DATOS!J:J,'Con otro color'!Y99,DATOS!DE:DE),0)), $AA$65='FORMULAS%'!AN$4,(IFERROR(AVERAGEIF(DATOS!J:J,'Con otro color'!Y99,DATOS!DF:DF),0)), $AA$65='FORMULAS%'!AN$5,(IFERROR(AVERAGEIF(DATOS!J:J,'Con otro color'!Y99,DATOS!DG:DG),0)), $AA$65='FORMULAS%'!AN$6,(IFERROR(AVERAGEIF(DATOS!J:J,'Con otro color'!Y99,DATOS!DH:DH),0)), $AA$65='FORMULAS%'!AN$7,(IFERROR(AVERAGEIF(DATOS!J:J,'Con otro color'!Y99,DATOS!DI:DI),0)), $AA$65='FORMULAS%'!AN$8,(IFERROR(AVERAGEIF(DATOS!J:J,'Con otro color'!Y99,DATOS!DJ:DJ),0)), $AA$65='FORMULAS%'!AN$9,(IFERROR(AVERAGEIF(DATOS!J:J,'Con otro color'!Y99,DATOS!DK:DK),0)), $AA$65='FORMULAS%'!AN$10,(IFERROR(AVERAGEIF(DATOS!J:J,'Con otro color'!Y99,DATOS!DL:DL),0)), $AA$65='FORMULAS%'!AN$11,(IFERROR(AVERAGEIF(DATOS!J:J,'Con otro color'!Y99,DATOS!DM:DM),0)), $AA$65='FORMULAS%'!AN$12,(IFERROR(AVERAGEIF(DATOS!J:J,'Con otro color'!Y99,DATOS!DN:DN),0)), $AA$65='FORMULAS%'!AN$13,(IFERROR(AVERAGEIF(DATOS!J:J,'Con otro color'!Y99,DATOS!DO:DO),0)), $AA$65='FORMULAS%'!AN$14,(IFERROR(AVERAGEIF(DATOS!J:J,'Con otro color'!Y99,DATOS!DP:DP),0)))</f>
        <v>1</v>
      </c>
      <c r="AC99" s="29"/>
      <c r="AD99" s="265">
        <f>IFERROR(AVERAGEIF(DATOS!J:J,'Con otro color'!Y99,DATOS!DP:DP),0)</f>
        <v>0.5</v>
      </c>
      <c r="AE99" s="30"/>
      <c r="AF99" s="279"/>
    </row>
    <row r="100" spans="2:32" ht="14.45" customHeight="1" thickBot="1" x14ac:dyDescent="0.35">
      <c r="B100" s="279"/>
      <c r="C100" s="533"/>
      <c r="D100" s="533"/>
      <c r="E100" s="533"/>
      <c r="F100" s="533"/>
      <c r="G100" s="533"/>
      <c r="H100" s="533"/>
      <c r="I100" s="533"/>
      <c r="J100" s="533"/>
      <c r="K100" s="533"/>
      <c r="L100" s="533"/>
      <c r="M100" s="533"/>
      <c r="N100" s="533"/>
      <c r="O100" s="533"/>
      <c r="P100" s="533"/>
      <c r="Q100" s="279"/>
      <c r="R100" s="279"/>
      <c r="S100" s="279"/>
      <c r="T100" s="279"/>
      <c r="U100" s="279"/>
      <c r="V100" s="279"/>
      <c r="W100" s="279"/>
      <c r="X100" s="279"/>
      <c r="Y100" s="28"/>
      <c r="Z100" s="29"/>
      <c r="AA100" s="29"/>
      <c r="AB100" s="31"/>
      <c r="AC100" s="29"/>
      <c r="AD100" s="31"/>
      <c r="AE100" s="30"/>
      <c r="AF100" s="279"/>
    </row>
    <row r="101" spans="2:32" ht="14.45" customHeight="1" thickBot="1" x14ac:dyDescent="0.35">
      <c r="B101" s="279"/>
      <c r="C101" s="533"/>
      <c r="D101" s="533"/>
      <c r="E101" s="533"/>
      <c r="F101" s="533"/>
      <c r="G101" s="533"/>
      <c r="H101" s="533"/>
      <c r="I101" s="533"/>
      <c r="J101" s="533"/>
      <c r="K101" s="533"/>
      <c r="L101" s="533"/>
      <c r="M101" s="533"/>
      <c r="N101" s="533"/>
      <c r="O101" s="533"/>
      <c r="P101" s="533"/>
      <c r="Q101" s="279"/>
      <c r="R101" s="279"/>
      <c r="S101" s="279"/>
      <c r="T101" s="279"/>
      <c r="U101" s="279"/>
      <c r="V101" s="279"/>
      <c r="W101" s="279"/>
      <c r="X101" s="279"/>
      <c r="Y101" s="28" t="s">
        <v>49</v>
      </c>
      <c r="Z101" s="29"/>
      <c r="AA101" s="29"/>
      <c r="AB101" s="264" cm="1">
        <f t="array" ref="AB101">_xlfn.IFS($AA$65='FORMULAS%'!AN$3,(IFERROR(AVERAGEIF(DATOS!J:J,'Con otro color'!Y101,DATOS!DE:DE),0)), $AA$65='FORMULAS%'!AN$4,(IFERROR(AVERAGEIF(DATOS!J:J,'Con otro color'!Y101,DATOS!DF:DF),0)), $AA$65='FORMULAS%'!AN$5,(IFERROR(AVERAGEIF(DATOS!J:J,'Con otro color'!Y101,DATOS!DG:DG),0)), $AA$65='FORMULAS%'!AN$6,(IFERROR(AVERAGEIF(DATOS!J:J,'Con otro color'!Y101,DATOS!DH:DH),0)), $AA$65='FORMULAS%'!AN$7,(IFERROR(AVERAGEIF(DATOS!J:J,'Con otro color'!Y101,DATOS!DI:DI),0)), $AA$65='FORMULAS%'!AN$8,(IFERROR(AVERAGEIF(DATOS!J:J,'Con otro color'!Y101,DATOS!DJ:DJ),0)), $AA$65='FORMULAS%'!AN$9,(IFERROR(AVERAGEIF(DATOS!J:J,'Con otro color'!Y101,DATOS!DK:DK),0)), $AA$65='FORMULAS%'!AN$10,(IFERROR(AVERAGEIF(DATOS!J:J,'Con otro color'!Y101,DATOS!DL:DL),0)), $AA$65='FORMULAS%'!AN$11,(IFERROR(AVERAGEIF(DATOS!J:J,'Con otro color'!Y101,DATOS!DM:DM),0)), $AA$65='FORMULAS%'!AN$12,(IFERROR(AVERAGEIF(DATOS!J:J,'Con otro color'!Y101,DATOS!DN:DN),0)), $AA$65='FORMULAS%'!AN$13,(IFERROR(AVERAGEIF(DATOS!J:J,'Con otro color'!Y101,DATOS!DO:DO),0)), $AA$65='FORMULAS%'!AN$14,(IFERROR(AVERAGEIF(DATOS!J:J,'Con otro color'!Y101,DATOS!DP:DP),0)))</f>
        <v>1.8465679012345679</v>
      </c>
      <c r="AC101" s="29"/>
      <c r="AD101" s="265">
        <f>IFERROR(AVERAGEIF(DATOS!J:J,'Con otro color'!Y101,DATOS!DP:DP),0)</f>
        <v>0.51897250566893416</v>
      </c>
      <c r="AE101" s="30"/>
      <c r="AF101" s="279"/>
    </row>
    <row r="102" spans="2:32" ht="21" thickBot="1" x14ac:dyDescent="0.35">
      <c r="B102" s="279"/>
      <c r="C102" s="533"/>
      <c r="D102" s="533"/>
      <c r="E102" s="533"/>
      <c r="F102" s="533"/>
      <c r="G102" s="533"/>
      <c r="H102" s="533"/>
      <c r="I102" s="533"/>
      <c r="J102" s="533"/>
      <c r="K102" s="533"/>
      <c r="L102" s="533"/>
      <c r="M102" s="533"/>
      <c r="N102" s="533"/>
      <c r="O102" s="533"/>
      <c r="P102" s="533"/>
      <c r="Q102" s="279"/>
      <c r="R102" s="279"/>
      <c r="S102" s="279"/>
      <c r="T102" s="279"/>
      <c r="U102" s="279"/>
      <c r="V102" s="279"/>
      <c r="W102" s="279"/>
      <c r="X102" s="279"/>
      <c r="Y102" s="28"/>
      <c r="Z102" s="29"/>
      <c r="AA102" s="29"/>
      <c r="AB102" s="31"/>
      <c r="AC102" s="29"/>
      <c r="AD102" s="31"/>
      <c r="AE102" s="30"/>
      <c r="AF102" s="279"/>
    </row>
    <row r="103" spans="2:32" ht="21" thickBot="1" x14ac:dyDescent="0.35">
      <c r="B103" s="279"/>
      <c r="C103" s="533"/>
      <c r="D103" s="533"/>
      <c r="E103" s="533"/>
      <c r="F103" s="533"/>
      <c r="G103" s="533"/>
      <c r="H103" s="533"/>
      <c r="I103" s="533"/>
      <c r="J103" s="533"/>
      <c r="K103" s="533"/>
      <c r="L103" s="533"/>
      <c r="M103" s="533"/>
      <c r="N103" s="533"/>
      <c r="O103" s="533"/>
      <c r="P103" s="533"/>
      <c r="Q103" s="279"/>
      <c r="R103" s="279"/>
      <c r="S103" s="279"/>
      <c r="T103" s="279"/>
      <c r="U103" s="279"/>
      <c r="V103" s="279"/>
      <c r="W103" s="279"/>
      <c r="X103" s="279"/>
      <c r="Y103" s="28" t="s">
        <v>50</v>
      </c>
      <c r="Z103" s="29"/>
      <c r="AA103" s="29"/>
      <c r="AB103" s="264" cm="1">
        <f t="array" ref="AB103">_xlfn.IFS($AA$65='FORMULAS%'!AN$3,(IFERROR(AVERAGEIF(DATOS!J:J,'Con otro color'!Y103,DATOS!DE:DE),0)), $AA$65='FORMULAS%'!AN$4,(IFERROR(AVERAGEIF(DATOS!J:J,'Con otro color'!Y103,DATOS!DF:DF),0)), $AA$65='FORMULAS%'!AN$5,(IFERROR(AVERAGEIF(DATOS!J:J,'Con otro color'!Y103,DATOS!DG:DG),0)), $AA$65='FORMULAS%'!AN$6,(IFERROR(AVERAGEIF(DATOS!J:J,'Con otro color'!Y103,DATOS!DH:DH),0)), $AA$65='FORMULAS%'!AN$7,(IFERROR(AVERAGEIF(DATOS!J:J,'Con otro color'!Y103,DATOS!DI:DI),0)), $AA$65='FORMULAS%'!AN$8,(IFERROR(AVERAGEIF(DATOS!J:J,'Con otro color'!Y103,DATOS!DJ:DJ),0)), $AA$65='FORMULAS%'!AN$9,(IFERROR(AVERAGEIF(DATOS!J:J,'Con otro color'!Y103,DATOS!DK:DK),0)), $AA$65='FORMULAS%'!AN$10,(IFERROR(AVERAGEIF(DATOS!J:J,'Con otro color'!Y103,DATOS!DL:DL),0)), $AA$65='FORMULAS%'!AN$11,(IFERROR(AVERAGEIF(DATOS!J:J,'Con otro color'!Y103,DATOS!DM:DM),0)), $AA$65='FORMULAS%'!AN$12,(IFERROR(AVERAGEIF(DATOS!J:J,'Con otro color'!Y103,DATOS!DN:DN),0)), $AA$65='FORMULAS%'!AN$13,(IFERROR(AVERAGEIF(DATOS!J:J,'Con otro color'!Y103,DATOS!DO:DO),0)), $AA$65='FORMULAS%'!AN$14,(IFERROR(AVERAGEIF(DATOS!J:J,'Con otro color'!Y103,DATOS!DP:DP),0)))</f>
        <v>0.55555555555555558</v>
      </c>
      <c r="AC103" s="29"/>
      <c r="AD103" s="265">
        <f>IFERROR(AVERAGEIF(DATOS!J:J,'Con otro color'!Y103,DATOS!DP:DP),0)</f>
        <v>0.26458333333333334</v>
      </c>
      <c r="AE103" s="30"/>
      <c r="AF103" s="279"/>
    </row>
    <row r="104" spans="2:32" ht="21" thickBot="1" x14ac:dyDescent="0.35">
      <c r="B104" s="279"/>
      <c r="C104" s="533"/>
      <c r="D104" s="533"/>
      <c r="E104" s="533"/>
      <c r="F104" s="533"/>
      <c r="G104" s="533"/>
      <c r="H104" s="533"/>
      <c r="I104" s="533"/>
      <c r="J104" s="533"/>
      <c r="K104" s="533"/>
      <c r="L104" s="533"/>
      <c r="M104" s="533"/>
      <c r="N104" s="533"/>
      <c r="O104" s="533"/>
      <c r="P104" s="533"/>
      <c r="Q104" s="279"/>
      <c r="R104" s="279"/>
      <c r="S104" s="279"/>
      <c r="T104" s="279"/>
      <c r="U104" s="279"/>
      <c r="V104" s="279"/>
      <c r="W104" s="279"/>
      <c r="X104" s="279"/>
      <c r="Y104" s="28"/>
      <c r="Z104" s="29"/>
      <c r="AA104" s="29"/>
      <c r="AB104" s="31"/>
      <c r="AC104" s="29"/>
      <c r="AD104" s="31"/>
      <c r="AE104" s="30"/>
      <c r="AF104" s="279"/>
    </row>
    <row r="105" spans="2:32" ht="21" thickBot="1" x14ac:dyDescent="0.35">
      <c r="B105" s="279"/>
      <c r="C105" s="533"/>
      <c r="D105" s="533"/>
      <c r="E105" s="533"/>
      <c r="F105" s="533"/>
      <c r="G105" s="533"/>
      <c r="H105" s="533"/>
      <c r="I105" s="533"/>
      <c r="J105" s="533"/>
      <c r="K105" s="533"/>
      <c r="L105" s="533"/>
      <c r="M105" s="533"/>
      <c r="N105" s="533"/>
      <c r="O105" s="533"/>
      <c r="P105" s="533"/>
      <c r="Q105" s="279"/>
      <c r="R105" s="279"/>
      <c r="S105" s="279"/>
      <c r="T105" s="279"/>
      <c r="U105" s="279"/>
      <c r="V105" s="279"/>
      <c r="W105" s="279"/>
      <c r="X105" s="279"/>
      <c r="Y105" s="28" t="s">
        <v>51</v>
      </c>
      <c r="Z105" s="29"/>
      <c r="AA105" s="29"/>
      <c r="AB105" s="264" cm="1">
        <f t="array" ref="AB105">_xlfn.IFS($AA$65='FORMULAS%'!AN$3,(IFERROR(AVERAGEIF(DATOS!J:J,'Con otro color'!Y105,DATOS!DE:DE),0)), $AA$65='FORMULAS%'!AN$4,(IFERROR(AVERAGEIF(DATOS!J:J,'Con otro color'!Y105,DATOS!DF:DF),0)), $AA$65='FORMULAS%'!AN$5,(IFERROR(AVERAGEIF(DATOS!J:J,'Con otro color'!Y105,DATOS!DG:DG),0)), $AA$65='FORMULAS%'!AN$6,(IFERROR(AVERAGEIF(DATOS!J:J,'Con otro color'!Y105,DATOS!DH:DH),0)), $AA$65='FORMULAS%'!AN$7,(IFERROR(AVERAGEIF(DATOS!J:J,'Con otro color'!Y105,DATOS!DI:DI),0)), $AA$65='FORMULAS%'!AN$8,(IFERROR(AVERAGEIF(DATOS!J:J,'Con otro color'!Y105,DATOS!DJ:DJ),0)), $AA$65='FORMULAS%'!AN$9,(IFERROR(AVERAGEIF(DATOS!J:J,'Con otro color'!Y105,DATOS!DK:DK),0)), $AA$65='FORMULAS%'!AN$10,(IFERROR(AVERAGEIF(DATOS!J:J,'Con otro color'!Y105,DATOS!DL:DL),0)), $AA$65='FORMULAS%'!AN$11,(IFERROR(AVERAGEIF(DATOS!J:J,'Con otro color'!Y105,DATOS!DM:DM),0)), $AA$65='FORMULAS%'!AN$12,(IFERROR(AVERAGEIF(DATOS!J:J,'Con otro color'!Y105,DATOS!DN:DN),0)), $AA$65='FORMULAS%'!AN$13,(IFERROR(AVERAGEIF(DATOS!J:J,'Con otro color'!Y105,DATOS!DO:DO),0)), $AA$65='FORMULAS%'!AN$14,(IFERROR(AVERAGEIF(DATOS!J:J,'Con otro color'!Y105,DATOS!DP:DP),0)))</f>
        <v>0.98499999999999999</v>
      </c>
      <c r="AC105" s="29"/>
      <c r="AD105" s="265">
        <f>IFERROR(AVERAGEIF(DATOS!J:J,'Con otro color'!Y105,DATOS!DP:DP),0)</f>
        <v>0.53761904761904766</v>
      </c>
      <c r="AE105" s="30"/>
      <c r="AF105" s="279"/>
    </row>
    <row r="106" spans="2:32" ht="21" thickBot="1" x14ac:dyDescent="0.35">
      <c r="B106" s="279"/>
      <c r="C106" s="533"/>
      <c r="D106" s="533"/>
      <c r="E106" s="533"/>
      <c r="F106" s="533"/>
      <c r="G106" s="533"/>
      <c r="H106" s="533"/>
      <c r="I106" s="533"/>
      <c r="J106" s="533"/>
      <c r="K106" s="533"/>
      <c r="L106" s="533"/>
      <c r="M106" s="533"/>
      <c r="N106" s="533"/>
      <c r="O106" s="533"/>
      <c r="P106" s="533"/>
      <c r="Q106" s="279"/>
      <c r="R106" s="279"/>
      <c r="S106" s="279"/>
      <c r="T106" s="279"/>
      <c r="U106" s="279"/>
      <c r="V106" s="279"/>
      <c r="W106" s="279"/>
      <c r="X106" s="279"/>
      <c r="Y106" s="32"/>
      <c r="Z106" s="33"/>
      <c r="AA106" s="33"/>
      <c r="AB106" s="34"/>
      <c r="AC106" s="33"/>
      <c r="AD106" s="34"/>
      <c r="AE106" s="35"/>
      <c r="AF106" s="279"/>
    </row>
    <row r="107" spans="2:32" ht="21" thickBot="1" x14ac:dyDescent="0.35">
      <c r="B107" s="279"/>
      <c r="C107" s="533"/>
      <c r="D107" s="533"/>
      <c r="E107" s="533"/>
      <c r="F107" s="533"/>
      <c r="G107" s="533"/>
      <c r="H107" s="533"/>
      <c r="I107" s="533"/>
      <c r="J107" s="533"/>
      <c r="K107" s="533"/>
      <c r="L107" s="533"/>
      <c r="M107" s="533"/>
      <c r="N107" s="533"/>
      <c r="O107" s="533"/>
      <c r="P107" s="533"/>
      <c r="Q107" s="279"/>
      <c r="R107" s="279"/>
      <c r="S107" s="279"/>
      <c r="T107" s="279"/>
      <c r="U107" s="279"/>
      <c r="V107" s="279"/>
      <c r="W107" s="279"/>
      <c r="X107" s="279"/>
      <c r="Y107" s="8"/>
      <c r="Z107" s="245"/>
      <c r="AA107" s="9"/>
      <c r="AB107" s="23"/>
      <c r="AC107" s="9"/>
      <c r="AD107" s="23"/>
      <c r="AE107" s="2"/>
      <c r="AF107" s="279"/>
    </row>
    <row r="108" spans="2:32" ht="21" thickBot="1" x14ac:dyDescent="0.35">
      <c r="B108" s="279"/>
      <c r="C108" s="533"/>
      <c r="D108" s="533"/>
      <c r="E108" s="533"/>
      <c r="F108" s="533"/>
      <c r="G108" s="533"/>
      <c r="H108" s="533"/>
      <c r="I108" s="533"/>
      <c r="J108" s="533"/>
      <c r="K108" s="533"/>
      <c r="L108" s="533"/>
      <c r="M108" s="533"/>
      <c r="N108" s="533"/>
      <c r="O108" s="533"/>
      <c r="P108" s="533"/>
      <c r="Q108" s="279"/>
      <c r="R108" s="279"/>
      <c r="S108" s="279"/>
      <c r="T108" s="279"/>
      <c r="U108" s="279"/>
      <c r="V108" s="279"/>
      <c r="W108" s="279"/>
      <c r="X108" s="279"/>
      <c r="Y108" s="36"/>
      <c r="Z108" s="37"/>
      <c r="AA108" s="37"/>
      <c r="AB108" s="38"/>
      <c r="AC108" s="37"/>
      <c r="AD108" s="38"/>
      <c r="AE108" s="39"/>
      <c r="AF108" s="279"/>
    </row>
    <row r="109" spans="2:32" ht="21" thickBot="1" x14ac:dyDescent="0.35">
      <c r="B109" s="279"/>
      <c r="C109" s="533"/>
      <c r="D109" s="533"/>
      <c r="E109" s="533"/>
      <c r="F109" s="533"/>
      <c r="G109" s="533"/>
      <c r="H109" s="533"/>
      <c r="I109" s="533"/>
      <c r="J109" s="533"/>
      <c r="K109" s="533"/>
      <c r="L109" s="533"/>
      <c r="M109" s="533"/>
      <c r="N109" s="533"/>
      <c r="O109" s="533"/>
      <c r="P109" s="533"/>
      <c r="Q109" s="279"/>
      <c r="R109" s="279"/>
      <c r="S109" s="279"/>
      <c r="T109" s="279"/>
      <c r="U109" s="279"/>
      <c r="V109" s="279"/>
      <c r="W109" s="279"/>
      <c r="X109" s="279"/>
      <c r="Y109" s="40" t="s">
        <v>52</v>
      </c>
      <c r="Z109" s="41"/>
      <c r="AA109" s="41"/>
      <c r="AB109" s="264" cm="1">
        <f t="array" ref="AB109">_xlfn.IFS($AA$65='FORMULAS%'!AN$3,(IFERROR(AVERAGEIF(DATOS!J:J,'Con otro color'!Y109,DATOS!DE:DE),0)), $AA$65='FORMULAS%'!AN$4,(IFERROR(AVERAGEIF(DATOS!J:J,'Con otro color'!Y109,DATOS!DF:DF),0)), $AA$65='FORMULAS%'!AN$5,(IFERROR(AVERAGEIF(DATOS!J:J,'Con otro color'!Y109,DATOS!DG:DG),0)), $AA$65='FORMULAS%'!AN$6,(IFERROR(AVERAGEIF(DATOS!J:J,'Con otro color'!Y109,DATOS!DH:DH),0)), $AA$65='FORMULAS%'!AN$7,(IFERROR(AVERAGEIF(DATOS!J:J,'Con otro color'!Y109,DATOS!DI:DI),0)), $AA$65='FORMULAS%'!AN$8,(IFERROR(AVERAGEIF(DATOS!J:J,'Con otro color'!Y109,DATOS!DJ:DJ),0)), $AA$65='FORMULAS%'!AN$9,(IFERROR(AVERAGEIF(DATOS!J:J,'Con otro color'!Y109,DATOS!DK:DK),0)), $AA$65='FORMULAS%'!AN$10,(IFERROR(AVERAGEIF(DATOS!J:J,'Con otro color'!Y109,DATOS!DL:DL),0)), $AA$65='FORMULAS%'!AN$11,(IFERROR(AVERAGEIF(DATOS!J:J,'Con otro color'!Y109,DATOS!DM:DM),0)), $AA$65='FORMULAS%'!AN$12,(IFERROR(AVERAGEIF(DATOS!J:J,'Con otro color'!Y109,DATOS!DN:DN),0)), $AA$65='FORMULAS%'!AN$13,(IFERROR(AVERAGEIF(DATOS!J:J,'Con otro color'!Y109,DATOS!DO:DO),0)), $AA$65='FORMULAS%'!AN$14,(IFERROR(AVERAGEIF(DATOS!J:J,'Con otro color'!Y109,DATOS!DP:DP),0)))</f>
        <v>1</v>
      </c>
      <c r="AC109" s="41"/>
      <c r="AD109" s="265">
        <f>IFERROR(AVERAGEIF(DATOS!J:J,'Con otro color'!Y109,DATOS!DP:DP),0)</f>
        <v>0.41062037037037036</v>
      </c>
      <c r="AE109" s="42"/>
      <c r="AF109" s="279"/>
    </row>
    <row r="110" spans="2:32" ht="21" thickBot="1" x14ac:dyDescent="0.35">
      <c r="B110" s="279"/>
      <c r="C110" s="533"/>
      <c r="D110" s="533"/>
      <c r="E110" s="533"/>
      <c r="F110" s="533"/>
      <c r="G110" s="533"/>
      <c r="H110" s="533"/>
      <c r="I110" s="533"/>
      <c r="J110" s="533"/>
      <c r="K110" s="533"/>
      <c r="L110" s="533"/>
      <c r="M110" s="533"/>
      <c r="N110" s="533"/>
      <c r="O110" s="533"/>
      <c r="P110" s="533"/>
      <c r="Q110" s="279"/>
      <c r="R110" s="279"/>
      <c r="S110" s="279"/>
      <c r="T110" s="279"/>
      <c r="U110" s="279"/>
      <c r="V110" s="279"/>
      <c r="W110" s="279"/>
      <c r="X110" s="279"/>
      <c r="Y110" s="40"/>
      <c r="Z110" s="41"/>
      <c r="AA110" s="41"/>
      <c r="AB110" s="43"/>
      <c r="AC110" s="41"/>
      <c r="AD110" s="43"/>
      <c r="AE110" s="42"/>
      <c r="AF110" s="279"/>
    </row>
    <row r="111" spans="2:32" ht="21" thickBot="1" x14ac:dyDescent="0.35">
      <c r="B111" s="279"/>
      <c r="C111" s="533"/>
      <c r="D111" s="533"/>
      <c r="E111" s="533"/>
      <c r="F111" s="533"/>
      <c r="G111" s="533"/>
      <c r="H111" s="533"/>
      <c r="I111" s="533"/>
      <c r="J111" s="533"/>
      <c r="K111" s="533"/>
      <c r="L111" s="533"/>
      <c r="M111" s="533"/>
      <c r="N111" s="533"/>
      <c r="O111" s="533"/>
      <c r="P111" s="533"/>
      <c r="Q111" s="279"/>
      <c r="R111" s="279"/>
      <c r="S111" s="279"/>
      <c r="T111" s="279"/>
      <c r="U111" s="279"/>
      <c r="V111" s="279"/>
      <c r="W111" s="279"/>
      <c r="X111" s="279"/>
      <c r="Y111" s="40" t="s">
        <v>53</v>
      </c>
      <c r="Z111" s="41"/>
      <c r="AA111" s="41"/>
      <c r="AB111" s="264" cm="1">
        <f t="array" ref="AB111">_xlfn.IFS($AA$65='FORMULAS%'!AN$3,(IFERROR(AVERAGEIF(DATOS!J:J,'Con otro color'!Y111,DATOS!DE:DE),0)), $AA$65='FORMULAS%'!AN$4,(IFERROR(AVERAGEIF(DATOS!J:J,'Con otro color'!Y111,DATOS!DF:DF),0)), $AA$65='FORMULAS%'!AN$5,(IFERROR(AVERAGEIF(DATOS!J:J,'Con otro color'!Y111,DATOS!DG:DG),0)), $AA$65='FORMULAS%'!AN$6,(IFERROR(AVERAGEIF(DATOS!J:J,'Con otro color'!Y111,DATOS!DH:DH),0)), $AA$65='FORMULAS%'!AN$7,(IFERROR(AVERAGEIF(DATOS!J:J,'Con otro color'!Y111,DATOS!DI:DI),0)), $AA$65='FORMULAS%'!AN$8,(IFERROR(AVERAGEIF(DATOS!J:J,'Con otro color'!Y111,DATOS!DJ:DJ),0)), $AA$65='FORMULAS%'!AN$9,(IFERROR(AVERAGEIF(DATOS!J:J,'Con otro color'!Y111,DATOS!DK:DK),0)), $AA$65='FORMULAS%'!AN$10,(IFERROR(AVERAGEIF(DATOS!J:J,'Con otro color'!Y111,DATOS!DL:DL),0)), $AA$65='FORMULAS%'!AN$11,(IFERROR(AVERAGEIF(DATOS!J:J,'Con otro color'!Y111,DATOS!DM:DM),0)), $AA$65='FORMULAS%'!AN$12,(IFERROR(AVERAGEIF(DATOS!J:J,'Con otro color'!Y111,DATOS!DN:DN),0)), $AA$65='FORMULAS%'!AN$13,(IFERROR(AVERAGEIF(DATOS!J:J,'Con otro color'!Y111,DATOS!DO:DO),0)), $AA$65='FORMULAS%'!AN$14,(IFERROR(AVERAGEIF(DATOS!J:J,'Con otro color'!Y111,DATOS!DP:DP),0)))</f>
        <v>1</v>
      </c>
      <c r="AC111" s="41"/>
      <c r="AD111" s="265">
        <f>IFERROR(AVERAGEIF(DATOS!J:J,'Con otro color'!Y111,DATOS!DP:DP),0)</f>
        <v>0.5</v>
      </c>
      <c r="AE111" s="42"/>
      <c r="AF111" s="279"/>
    </row>
    <row r="112" spans="2:32" ht="21" thickBot="1" x14ac:dyDescent="0.35">
      <c r="B112" s="279"/>
      <c r="C112" s="533"/>
      <c r="D112" s="533"/>
      <c r="E112" s="533"/>
      <c r="F112" s="533"/>
      <c r="G112" s="533"/>
      <c r="H112" s="533"/>
      <c r="I112" s="533"/>
      <c r="J112" s="533"/>
      <c r="K112" s="533"/>
      <c r="L112" s="533"/>
      <c r="M112" s="533"/>
      <c r="N112" s="533"/>
      <c r="O112" s="533"/>
      <c r="P112" s="533"/>
      <c r="Q112" s="279"/>
      <c r="R112" s="279"/>
      <c r="S112" s="279"/>
      <c r="T112" s="279"/>
      <c r="U112" s="279"/>
      <c r="V112" s="279"/>
      <c r="W112" s="279"/>
      <c r="X112" s="279"/>
      <c r="Y112" s="44"/>
      <c r="Z112" s="45"/>
      <c r="AA112" s="45"/>
      <c r="AB112" s="46"/>
      <c r="AC112" s="45"/>
      <c r="AD112" s="46"/>
      <c r="AE112" s="47"/>
      <c r="AF112" s="279"/>
    </row>
    <row r="113" spans="2:32" x14ac:dyDescent="0.25">
      <c r="B113" s="279"/>
      <c r="C113" s="279"/>
      <c r="D113" s="279"/>
      <c r="E113" s="279"/>
      <c r="F113" s="279"/>
      <c r="G113" s="279"/>
      <c r="H113" s="279"/>
      <c r="I113" s="279"/>
      <c r="J113" s="279"/>
      <c r="K113" s="279"/>
      <c r="L113" s="279"/>
      <c r="M113" s="279"/>
      <c r="N113" s="279"/>
      <c r="O113" s="279"/>
      <c r="P113" s="279"/>
      <c r="Q113" s="279"/>
      <c r="R113" s="279"/>
      <c r="S113" s="279"/>
      <c r="T113" s="279"/>
      <c r="U113" s="279"/>
      <c r="V113" s="279"/>
      <c r="W113" s="279"/>
      <c r="X113" s="279"/>
      <c r="Y113" s="279"/>
      <c r="Z113" s="279"/>
      <c r="AA113" s="279"/>
      <c r="AB113" s="279"/>
      <c r="AC113" s="279"/>
      <c r="AD113" s="279"/>
      <c r="AE113" s="279"/>
      <c r="AF113" s="279"/>
    </row>
    <row r="114" spans="2:32" x14ac:dyDescent="0.25">
      <c r="B114" s="279"/>
      <c r="C114" s="279"/>
      <c r="D114" s="279"/>
      <c r="E114" s="279"/>
      <c r="F114" s="279"/>
      <c r="G114" s="279"/>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row>
  </sheetData>
  <mergeCells count="55">
    <mergeCell ref="B1:N40"/>
    <mergeCell ref="O1:AF40"/>
    <mergeCell ref="C49:E49"/>
    <mergeCell ref="F49:P49"/>
    <mergeCell ref="AE50:AF52"/>
    <mergeCell ref="C51:E51"/>
    <mergeCell ref="F51:P51"/>
    <mergeCell ref="C53:E53"/>
    <mergeCell ref="F53:P53"/>
    <mergeCell ref="C54:E54"/>
    <mergeCell ref="F54:P54"/>
    <mergeCell ref="AE54:AF56"/>
    <mergeCell ref="C55:E55"/>
    <mergeCell ref="F55:M55"/>
    <mergeCell ref="O55:P55"/>
    <mergeCell ref="C56:P56"/>
    <mergeCell ref="C57:E57"/>
    <mergeCell ref="AE58:AF59"/>
    <mergeCell ref="C59:D59"/>
    <mergeCell ref="E59:F59"/>
    <mergeCell ref="G59:J59"/>
    <mergeCell ref="K59:M59"/>
    <mergeCell ref="N59:P59"/>
    <mergeCell ref="K60:M60"/>
    <mergeCell ref="N60:P60"/>
    <mergeCell ref="AE60:AF60"/>
    <mergeCell ref="G61:J61"/>
    <mergeCell ref="K61:M61"/>
    <mergeCell ref="N61:P61"/>
    <mergeCell ref="C60:D61"/>
    <mergeCell ref="E60:F61"/>
    <mergeCell ref="G60:J60"/>
    <mergeCell ref="F65:F66"/>
    <mergeCell ref="G65:G66"/>
    <mergeCell ref="H65:H66"/>
    <mergeCell ref="N65:P65"/>
    <mergeCell ref="N66:P66"/>
    <mergeCell ref="F69:F70"/>
    <mergeCell ref="G69:G70"/>
    <mergeCell ref="H69:H70"/>
    <mergeCell ref="N70:P70"/>
    <mergeCell ref="F67:F68"/>
    <mergeCell ref="G67:G68"/>
    <mergeCell ref="H67:H68"/>
    <mergeCell ref="F71:F72"/>
    <mergeCell ref="G71:G72"/>
    <mergeCell ref="H71:H72"/>
    <mergeCell ref="C82:P112"/>
    <mergeCell ref="F73:F74"/>
    <mergeCell ref="G73:G74"/>
    <mergeCell ref="H73:H74"/>
    <mergeCell ref="N74:P74"/>
    <mergeCell ref="E75:F76"/>
    <mergeCell ref="C79:D79"/>
    <mergeCell ref="F79:H79"/>
  </mergeCells>
  <dataValidations count="11">
    <dataValidation type="list" allowBlank="1" showInputMessage="1" showErrorMessage="1" sqref="F51:P51" xr:uid="{98C2C991-7632-41B2-B668-2902EE8382CC}">
      <formula1>INDIRECT(F49)</formula1>
    </dataValidation>
    <dataValidation type="list" allowBlank="1" showInputMessage="1" showErrorMessage="1" sqref="F79 AA65" xr:uid="{CECB43A6-2C44-4E43-AA14-997CACE68FD8}">
      <formula1>"Enero, Febrero, Marzo, Abril, Mayo, Junio, Julio, Agosto, Septiembre, Octubre, Noviembre, Diciembre"</formula1>
    </dataValidation>
    <dataValidation allowBlank="1" showInputMessage="1" showErrorMessage="1" promptTitle="META" prompt="Es el valor que se espera alcance el indicador." sqref="F65 F67 F69 F71 F73 G75:H75" xr:uid="{28BFDCA4-9FC2-4AA2-8E3A-D510E2D3A862}"/>
    <dataValidation allowBlank="1" showInputMessage="1" showErrorMessage="1" promptTitle="FUENTE DE INFORMACION" prompt="Señala la(s) fuente(s) de las cuales se obtiene la información para el cálculo del indicador. Por ejemplo: Sistemas de información,_x000a_resultados encuestas del cliente externo, interno, verificación del servicio y control de visitantes." sqref="N59:P59" xr:uid="{4491AB89-0516-4E11-9EA5-5784EE7011DE}"/>
    <dataValidation allowBlank="1" showInputMessage="1" showErrorMessage="1" promptTitle="EXPLICACION DE LA VARIABLE" prompt="Opcional si la variable requiere explicación o idefinición_x000a_" sqref="K59:M59" xr:uid="{2FCEF9F5-9F3B-460B-A8E6-DC2AD318BBB1}"/>
    <dataValidation allowBlank="1" showInputMessage="1" showErrorMessage="1" promptTitle="NOMBRE VARIABLE" prompt="Nombre de las variables a utilizar, puede ser una sola_x000a_variable o dos dependiendo del indicador" sqref="G59:J59" xr:uid="{4BE151B1-0AC5-4259-A1CD-D29744721567}"/>
    <dataValidation allowBlank="1" showInputMessage="1" showErrorMessage="1" promptTitle="UNIDAD DE MEDIDA" prompt="Magnitud referencia para la medición. Ejemplo: Porcentaje, Número de asesorías." sqref="E59:F59" xr:uid="{9533B1DC-5E78-460B-B876-B8F8A471C48E}"/>
    <dataValidation allowBlank="1" showInputMessage="1" showErrorMessage="1" promptTitle="FORMULA DEL INDICADOR" prompt="Fórmula matemática utilizada para el cálculo del indicador._x000a_" sqref="C59:D59" xr:uid="{2D8060EE-3D4B-42B0-9ADA-63F07A4740EA}"/>
    <dataValidation allowBlank="1" showInputMessage="1" showErrorMessage="1" promptTitle="NOMBRE DEL INDICADOR" prompt="Nombre que identifica al indicador." sqref="C50:E52 C54:E54" xr:uid="{CF1AB03F-2494-4A46-99AE-5E86D79D4AAA}"/>
    <dataValidation allowBlank="1" showInputMessage="1" showErrorMessage="1" promptTitle="PRODUCTO/SERVICIO" prompt="Identifica el nombre del producto o servicio." sqref="C55:E55 N55 C57" xr:uid="{15892A17-E12B-4383-B9DC-A124E8C7275E}"/>
    <dataValidation allowBlank="1" showInputMessage="1" showErrorMessage="1" promptTitle="PROCESO" prompt="Identifica el nombre del proceso al cual pertenece el indicador." sqref="C53:E53 C49:E49" xr:uid="{E7048D16-009B-4435-9307-307F3309A649}"/>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7512892-67CB-4780-936E-F9546447A905}">
          <x14:formula1>
            <xm:f>'FORMULAS%'!$AB$1:$AM$1</xm:f>
          </x14:formula1>
          <xm:sqref>F49:P49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4F321-8472-44EA-BF21-18F3BCDA4170}">
  <dimension ref="A1:DP1048448"/>
  <sheetViews>
    <sheetView zoomScaleNormal="100" workbookViewId="0">
      <pane xSplit="6" ySplit="4" topLeftCell="BB23" activePane="bottomRight" state="frozen"/>
      <selection pane="topRight" activeCell="G1" sqref="G1"/>
      <selection pane="bottomLeft" activeCell="A5" sqref="A5"/>
      <selection pane="bottomRight" activeCell="F24" sqref="F24"/>
    </sheetView>
  </sheetViews>
  <sheetFormatPr baseColWidth="10" defaultColWidth="11.42578125" defaultRowHeight="39" customHeight="1" x14ac:dyDescent="0.25"/>
  <cols>
    <col min="1" max="1" width="37.28515625" style="78" customWidth="1"/>
    <col min="2" max="2" width="14" style="78" customWidth="1"/>
    <col min="3" max="3" width="14.5703125" style="77" customWidth="1"/>
    <col min="4" max="4" width="9.28515625" style="78" customWidth="1"/>
    <col min="5" max="5" width="12.42578125" style="77" customWidth="1"/>
    <col min="6" max="6" width="31.5703125" style="78" customWidth="1"/>
    <col min="7" max="7" width="20" style="78" hidden="1" customWidth="1"/>
    <col min="8" max="8" width="43.28515625" style="78" hidden="1" customWidth="1"/>
    <col min="9" max="9" width="17.85546875" style="78" hidden="1" customWidth="1"/>
    <col min="10" max="10" width="20" style="78" hidden="1" customWidth="1"/>
    <col min="11" max="11" width="12.42578125" style="77" hidden="1" customWidth="1"/>
    <col min="12" max="12" width="13.42578125" style="77" hidden="1" customWidth="1"/>
    <col min="13" max="13" width="11.140625" style="77" hidden="1" customWidth="1"/>
    <col min="14" max="15" width="8.5703125" style="77" hidden="1" customWidth="1"/>
    <col min="16" max="16" width="30.5703125" style="78" hidden="1" customWidth="1"/>
    <col min="17" max="17" width="15.5703125" style="78" hidden="1" customWidth="1"/>
    <col min="18" max="18" width="24.85546875" style="78" hidden="1" customWidth="1"/>
    <col min="19" max="19" width="22.42578125" style="78" hidden="1" customWidth="1"/>
    <col min="20" max="20" width="24.5703125" style="78" hidden="1" customWidth="1"/>
    <col min="21" max="21" width="25.85546875" style="78" hidden="1" customWidth="1"/>
    <col min="22" max="22" width="21" style="78" hidden="1" customWidth="1"/>
    <col min="23" max="23" width="18.85546875" style="78" hidden="1" customWidth="1"/>
    <col min="24" max="24" width="8.42578125" style="77" hidden="1" customWidth="1"/>
    <col min="25" max="25" width="24" style="78" hidden="1" customWidth="1"/>
    <col min="26" max="26" width="17.42578125" style="78" hidden="1" customWidth="1"/>
    <col min="27" max="27" width="15" style="78" hidden="1" customWidth="1"/>
    <col min="28" max="28" width="11.42578125" style="78" hidden="1" customWidth="1"/>
    <col min="29" max="29" width="11.5703125" style="78" hidden="1" customWidth="1"/>
    <col min="30" max="30" width="13.140625" style="78" hidden="1" customWidth="1"/>
    <col min="31" max="31" width="16.5703125" style="77" hidden="1" customWidth="1"/>
    <col min="32" max="32" width="15.140625" style="77" hidden="1" customWidth="1"/>
    <col min="33" max="33" width="12.5703125" style="77" hidden="1" customWidth="1"/>
    <col min="34" max="34" width="12.28515625" style="77" hidden="1" customWidth="1"/>
    <col min="35" max="35" width="10.140625" style="77" hidden="1" customWidth="1"/>
    <col min="36" max="36" width="10.7109375" style="77" customWidth="1"/>
    <col min="37" max="37" width="7" style="77" hidden="1" customWidth="1"/>
    <col min="38" max="38" width="10.140625" style="77" hidden="1" customWidth="1"/>
    <col min="39" max="39" width="7.140625" style="77" hidden="1" customWidth="1"/>
    <col min="40" max="40" width="7.7109375" style="77" hidden="1" customWidth="1"/>
    <col min="41" max="41" width="12.140625" style="77" hidden="1" customWidth="1"/>
    <col min="42" max="42" width="10.28515625" style="77" customWidth="1"/>
    <col min="43" max="43" width="10" style="77" hidden="1" customWidth="1"/>
    <col min="44" max="48" width="10" style="121" hidden="1" customWidth="1"/>
    <col min="49" max="56" width="8.85546875" style="77" customWidth="1"/>
    <col min="57" max="57" width="10.5703125" style="77" hidden="1" customWidth="1"/>
    <col min="58" max="58" width="7.5703125" style="77" hidden="1" customWidth="1"/>
    <col min="59" max="59" width="7.42578125" style="77" hidden="1" customWidth="1"/>
    <col min="60" max="60" width="10.140625" style="77" hidden="1" customWidth="1"/>
    <col min="61" max="61" width="9.42578125" style="77" hidden="1" customWidth="1"/>
    <col min="62" max="62" width="10" style="77" hidden="1" customWidth="1"/>
    <col min="63" max="63" width="9.42578125" style="77" hidden="1" customWidth="1"/>
    <col min="64" max="64" width="9.5703125" style="77" hidden="1" customWidth="1"/>
    <col min="65" max="65" width="10.140625" style="77" hidden="1" customWidth="1"/>
    <col min="66" max="66" width="9.5703125" style="77" hidden="1" customWidth="1"/>
    <col min="67" max="67" width="9.42578125" style="77" hidden="1" customWidth="1"/>
    <col min="68" max="68" width="8.5703125" style="77" hidden="1" customWidth="1"/>
    <col min="69" max="69" width="9.5703125" style="77" hidden="1" customWidth="1"/>
    <col min="70" max="70" width="8.7109375" style="77" hidden="1" customWidth="1"/>
    <col min="71" max="71" width="8" style="77" hidden="1" customWidth="1"/>
    <col min="72" max="72" width="7.140625" style="77" hidden="1" customWidth="1"/>
    <col min="73" max="74" width="24.5703125" style="112" hidden="1" customWidth="1"/>
    <col min="75" max="75" width="23" style="112" hidden="1" customWidth="1"/>
    <col min="76" max="76" width="27.42578125" style="112" hidden="1" customWidth="1"/>
    <col min="77" max="77" width="32.42578125" style="112" hidden="1" customWidth="1"/>
    <col min="78" max="78" width="12.85546875" style="112" hidden="1" customWidth="1"/>
    <col min="79" max="79" width="17.42578125" style="112" hidden="1" customWidth="1"/>
    <col min="80" max="80" width="17" style="112" hidden="1" customWidth="1"/>
    <col min="81" max="81" width="13" style="112" hidden="1" customWidth="1"/>
    <col min="82" max="82" width="20.42578125" style="112" hidden="1" customWidth="1"/>
    <col min="83" max="83" width="23.5703125" style="112" hidden="1" customWidth="1"/>
    <col min="84" max="84" width="20.42578125" style="112" hidden="1" customWidth="1"/>
    <col min="85" max="86" width="20.42578125" style="78" hidden="1" customWidth="1"/>
    <col min="87" max="87" width="15.140625" style="78" customWidth="1"/>
    <col min="88" max="93" width="14.85546875" style="78" customWidth="1"/>
    <col min="94" max="94" width="38.85546875" style="113" customWidth="1"/>
    <col min="95" max="95" width="14" style="78" customWidth="1"/>
    <col min="96" max="96" width="13.42578125" style="78" customWidth="1"/>
    <col min="97" max="108" width="11.42578125" style="78" customWidth="1"/>
    <col min="109" max="118" width="11.42578125" style="246"/>
    <col min="119" max="119" width="11.5703125" style="246" customWidth="1"/>
    <col min="120" max="120" width="11.42578125" style="246"/>
    <col min="121" max="16384" width="11.42578125" style="78"/>
  </cols>
  <sheetData>
    <row r="1" spans="1:120" ht="39" customHeight="1" x14ac:dyDescent="0.25">
      <c r="B1" s="77" t="s">
        <v>61</v>
      </c>
      <c r="C1" s="77" t="s">
        <v>146</v>
      </c>
      <c r="F1" s="219">
        <v>1</v>
      </c>
      <c r="G1" s="219">
        <v>2</v>
      </c>
      <c r="H1" s="304"/>
      <c r="I1" s="219">
        <v>4</v>
      </c>
      <c r="J1" s="219">
        <v>5</v>
      </c>
      <c r="K1" s="219">
        <v>6</v>
      </c>
      <c r="L1" s="219">
        <v>7</v>
      </c>
      <c r="M1" s="219">
        <v>8</v>
      </c>
      <c r="N1" s="219">
        <v>9</v>
      </c>
      <c r="O1" s="219">
        <v>10</v>
      </c>
      <c r="P1" s="219">
        <v>11</v>
      </c>
      <c r="Q1" s="219">
        <v>12</v>
      </c>
      <c r="R1" s="219">
        <v>13</v>
      </c>
      <c r="S1" s="219">
        <v>14</v>
      </c>
      <c r="T1" s="219">
        <v>15</v>
      </c>
      <c r="U1" s="219">
        <v>16</v>
      </c>
      <c r="V1" s="219">
        <v>17</v>
      </c>
      <c r="W1" s="219">
        <v>18</v>
      </c>
      <c r="X1" s="219">
        <v>19</v>
      </c>
      <c r="Y1" s="219">
        <v>20</v>
      </c>
      <c r="Z1" s="219">
        <v>21</v>
      </c>
      <c r="AA1" s="219">
        <v>22</v>
      </c>
      <c r="AB1" s="219" t="s">
        <v>63</v>
      </c>
      <c r="AC1" s="219">
        <v>24</v>
      </c>
      <c r="AD1" s="219">
        <v>25</v>
      </c>
      <c r="AE1" s="219">
        <v>26</v>
      </c>
      <c r="AF1" s="219">
        <v>27</v>
      </c>
      <c r="AG1" s="219">
        <v>28</v>
      </c>
      <c r="AH1" s="304"/>
      <c r="AI1" s="339" t="s">
        <v>65</v>
      </c>
      <c r="AJ1" s="219">
        <v>30</v>
      </c>
      <c r="AK1" s="219">
        <v>31</v>
      </c>
      <c r="AL1" s="219">
        <v>32</v>
      </c>
      <c r="AM1" s="219">
        <v>33</v>
      </c>
      <c r="AN1" s="304"/>
      <c r="AO1" s="304"/>
      <c r="AP1" s="219">
        <v>35</v>
      </c>
      <c r="AQ1" s="219">
        <v>36</v>
      </c>
      <c r="AR1" s="219">
        <v>37</v>
      </c>
      <c r="AS1" s="219">
        <v>38</v>
      </c>
      <c r="AT1" s="219">
        <v>39</v>
      </c>
      <c r="AU1" s="219">
        <v>40</v>
      </c>
      <c r="AV1" s="219">
        <v>41</v>
      </c>
      <c r="AW1" s="219">
        <v>47</v>
      </c>
      <c r="AX1" s="219">
        <v>48</v>
      </c>
      <c r="AY1" s="219">
        <v>49</v>
      </c>
      <c r="AZ1" s="219">
        <v>50</v>
      </c>
      <c r="BA1" s="219">
        <v>51</v>
      </c>
      <c r="BB1" s="219">
        <v>52</v>
      </c>
      <c r="BC1" s="219">
        <v>53</v>
      </c>
      <c r="BD1" s="219">
        <v>54</v>
      </c>
      <c r="BE1" s="219">
        <v>55</v>
      </c>
      <c r="BF1" s="219">
        <v>56</v>
      </c>
      <c r="BG1" s="219">
        <v>57</v>
      </c>
      <c r="BH1" s="219">
        <v>58</v>
      </c>
      <c r="BI1" s="219">
        <v>59</v>
      </c>
      <c r="BJ1" s="219">
        <v>60</v>
      </c>
      <c r="BK1" s="219">
        <v>61</v>
      </c>
      <c r="BL1" s="219">
        <v>62</v>
      </c>
      <c r="BM1" s="219">
        <v>63</v>
      </c>
      <c r="BN1" s="219">
        <v>64</v>
      </c>
      <c r="BO1" s="219">
        <v>65</v>
      </c>
      <c r="BP1" s="219">
        <v>66</v>
      </c>
      <c r="BQ1" s="219">
        <v>67</v>
      </c>
      <c r="BR1" s="219">
        <v>68</v>
      </c>
      <c r="BS1" s="219">
        <v>69</v>
      </c>
      <c r="BT1" s="219">
        <v>70</v>
      </c>
      <c r="BU1" s="219">
        <v>71</v>
      </c>
      <c r="BV1" s="219">
        <v>72</v>
      </c>
      <c r="BW1" s="219">
        <v>73</v>
      </c>
      <c r="BX1" s="219">
        <v>74</v>
      </c>
      <c r="BY1" s="219">
        <v>75</v>
      </c>
      <c r="BZ1" s="219">
        <v>76</v>
      </c>
      <c r="CA1" s="219">
        <v>77</v>
      </c>
      <c r="CB1" s="219">
        <v>78</v>
      </c>
      <c r="CC1" s="219">
        <v>79</v>
      </c>
      <c r="CD1" s="219">
        <v>80</v>
      </c>
      <c r="CE1" s="219">
        <v>81</v>
      </c>
      <c r="CF1" s="219">
        <v>82</v>
      </c>
      <c r="CG1" s="219">
        <v>83</v>
      </c>
      <c r="CH1" s="219">
        <v>84</v>
      </c>
      <c r="CI1" s="219">
        <v>85</v>
      </c>
      <c r="CJ1" s="341">
        <v>86</v>
      </c>
      <c r="CK1" s="341">
        <v>87</v>
      </c>
      <c r="CL1" s="341">
        <v>88</v>
      </c>
      <c r="CM1" s="341">
        <v>89</v>
      </c>
      <c r="CN1" s="341">
        <v>90</v>
      </c>
      <c r="CO1" s="341">
        <v>91</v>
      </c>
      <c r="CP1" s="219">
        <v>94</v>
      </c>
      <c r="CQ1" s="219">
        <v>96</v>
      </c>
      <c r="CR1" s="341">
        <v>129</v>
      </c>
      <c r="CS1" s="341">
        <v>130</v>
      </c>
      <c r="CT1" s="341">
        <v>131</v>
      </c>
      <c r="CU1" s="341">
        <v>132</v>
      </c>
      <c r="CV1" s="341">
        <v>133</v>
      </c>
      <c r="CW1" s="341">
        <v>134</v>
      </c>
      <c r="CX1" s="341">
        <v>135</v>
      </c>
      <c r="CY1" s="341">
        <v>136</v>
      </c>
      <c r="CZ1" s="341">
        <v>137</v>
      </c>
      <c r="DA1" s="341">
        <v>138</v>
      </c>
      <c r="DB1" s="341">
        <v>139</v>
      </c>
      <c r="DC1" s="341">
        <v>140</v>
      </c>
      <c r="DD1" s="341">
        <v>141</v>
      </c>
      <c r="DE1" s="342"/>
      <c r="DF1" s="342"/>
      <c r="DG1" s="342"/>
      <c r="DH1" s="342"/>
      <c r="DI1" s="342"/>
      <c r="DJ1" s="342"/>
      <c r="DK1" s="342"/>
      <c r="DL1" s="342"/>
      <c r="DM1" s="342"/>
      <c r="DN1" s="342"/>
      <c r="DO1" s="342"/>
      <c r="DP1" s="342"/>
    </row>
    <row r="2" spans="1:120" ht="29.1" customHeight="1" x14ac:dyDescent="0.25">
      <c r="B2" s="78">
        <f>VLOOKUP(F$52,DATOS!F:AQ,27,FALSE)</f>
        <v>0</v>
      </c>
      <c r="D2" s="77"/>
      <c r="F2" s="219">
        <v>1</v>
      </c>
      <c r="G2" s="219">
        <v>2</v>
      </c>
      <c r="H2" s="219"/>
      <c r="I2" s="219">
        <v>4</v>
      </c>
      <c r="J2" s="219">
        <v>5</v>
      </c>
      <c r="K2" s="219">
        <v>6</v>
      </c>
      <c r="L2" s="219">
        <v>7</v>
      </c>
      <c r="M2" s="219">
        <v>8</v>
      </c>
      <c r="N2" s="219">
        <v>9</v>
      </c>
      <c r="O2" s="219">
        <v>10</v>
      </c>
      <c r="P2" s="219" t="s">
        <v>66</v>
      </c>
      <c r="Q2" s="219" t="s">
        <v>67</v>
      </c>
      <c r="R2" s="219" t="s">
        <v>68</v>
      </c>
      <c r="S2" s="219" t="s">
        <v>69</v>
      </c>
      <c r="T2" s="219" t="s">
        <v>70</v>
      </c>
      <c r="U2" s="219" t="s">
        <v>71</v>
      </c>
      <c r="V2" s="219" t="s">
        <v>72</v>
      </c>
      <c r="W2" s="219" t="s">
        <v>73</v>
      </c>
      <c r="X2" s="219" t="s">
        <v>74</v>
      </c>
      <c r="Y2" s="219" t="s">
        <v>75</v>
      </c>
      <c r="Z2" s="219" t="s">
        <v>76</v>
      </c>
      <c r="AA2" s="219" t="s">
        <v>77</v>
      </c>
      <c r="AB2" s="219" t="s">
        <v>63</v>
      </c>
      <c r="AC2" s="219" t="s">
        <v>78</v>
      </c>
      <c r="AD2" s="219" t="s">
        <v>79</v>
      </c>
      <c r="AE2" s="219" t="s">
        <v>80</v>
      </c>
      <c r="AF2" s="219">
        <v>27</v>
      </c>
      <c r="AG2" s="219">
        <v>28</v>
      </c>
      <c r="AH2" s="446"/>
      <c r="AI2" s="286" t="s">
        <v>81</v>
      </c>
      <c r="AJ2" s="447" t="s">
        <v>1121</v>
      </c>
      <c r="AK2" s="286"/>
      <c r="AL2" s="286"/>
      <c r="AM2" s="286"/>
      <c r="AN2" s="286"/>
      <c r="AO2" s="286"/>
      <c r="AP2" s="448" t="s">
        <v>1122</v>
      </c>
      <c r="AQ2" s="219">
        <v>36</v>
      </c>
      <c r="AR2" s="219"/>
      <c r="AS2" s="219"/>
      <c r="AT2" s="219"/>
      <c r="AU2" s="219"/>
      <c r="AV2" s="219"/>
      <c r="AW2" s="340">
        <v>37</v>
      </c>
      <c r="AX2" s="340">
        <v>38</v>
      </c>
      <c r="AY2" s="340">
        <v>39</v>
      </c>
      <c r="AZ2" s="340">
        <v>40</v>
      </c>
      <c r="BA2" s="340">
        <v>41</v>
      </c>
      <c r="BB2" s="340">
        <v>42</v>
      </c>
      <c r="BC2" s="340">
        <v>43</v>
      </c>
      <c r="BD2" s="340">
        <v>44</v>
      </c>
      <c r="BE2" s="340">
        <v>45</v>
      </c>
      <c r="BF2" s="340">
        <v>46</v>
      </c>
      <c r="BG2" s="340">
        <v>47</v>
      </c>
      <c r="BH2" s="340">
        <v>48</v>
      </c>
      <c r="BI2" s="340">
        <v>49</v>
      </c>
      <c r="BJ2" s="340">
        <v>50</v>
      </c>
      <c r="BK2" s="340">
        <v>51</v>
      </c>
      <c r="BL2" s="340">
        <v>52</v>
      </c>
      <c r="BM2" s="340">
        <v>53</v>
      </c>
      <c r="BN2" s="340">
        <v>54</v>
      </c>
      <c r="BO2" s="340">
        <v>55</v>
      </c>
      <c r="BP2" s="340">
        <v>56</v>
      </c>
      <c r="BQ2" s="340">
        <v>57</v>
      </c>
      <c r="BR2" s="340">
        <v>58</v>
      </c>
      <c r="BS2" s="340">
        <v>59</v>
      </c>
      <c r="BT2" s="340">
        <v>60</v>
      </c>
      <c r="BU2" s="340">
        <v>61</v>
      </c>
      <c r="BV2" s="340">
        <v>62</v>
      </c>
      <c r="BW2" s="340">
        <v>63</v>
      </c>
      <c r="BX2" s="340">
        <v>64</v>
      </c>
      <c r="BY2" s="340">
        <v>65</v>
      </c>
      <c r="BZ2" s="340">
        <v>66</v>
      </c>
      <c r="CA2" s="340">
        <v>67</v>
      </c>
      <c r="CB2" s="340">
        <v>68</v>
      </c>
      <c r="CC2" s="340">
        <v>69</v>
      </c>
      <c r="CD2" s="340">
        <v>70</v>
      </c>
      <c r="CE2" s="340">
        <v>71</v>
      </c>
      <c r="CF2" s="340">
        <v>72</v>
      </c>
      <c r="CG2" s="219">
        <v>73</v>
      </c>
      <c r="CH2" s="219">
        <v>74</v>
      </c>
      <c r="CI2" s="219">
        <v>75</v>
      </c>
      <c r="CJ2" s="341">
        <v>76</v>
      </c>
      <c r="CK2" s="341">
        <v>77</v>
      </c>
      <c r="CL2" s="341">
        <v>78</v>
      </c>
      <c r="CM2" s="341">
        <v>79</v>
      </c>
      <c r="CN2" s="341">
        <v>80</v>
      </c>
      <c r="CO2" s="341">
        <v>81</v>
      </c>
      <c r="CP2" s="219">
        <v>84</v>
      </c>
      <c r="CQ2" s="219">
        <v>86</v>
      </c>
      <c r="CR2" s="220"/>
      <c r="CS2" s="220"/>
      <c r="CT2" s="220"/>
      <c r="CU2" s="220"/>
      <c r="CV2" s="220"/>
      <c r="CW2" s="220"/>
      <c r="CX2" s="220"/>
      <c r="CY2" s="220"/>
      <c r="CZ2" s="220"/>
      <c r="DA2" s="220"/>
      <c r="DB2" s="220"/>
      <c r="DC2" s="220"/>
      <c r="DD2" s="220"/>
      <c r="DE2" s="262" t="s">
        <v>82</v>
      </c>
      <c r="DF2" s="263"/>
      <c r="DG2" s="263"/>
      <c r="DH2" s="263"/>
      <c r="DI2" s="263"/>
      <c r="DJ2" s="263"/>
      <c r="DK2" s="263"/>
      <c r="DL2" s="263"/>
      <c r="DM2" s="263"/>
      <c r="DN2" s="263"/>
      <c r="DO2" s="263"/>
      <c r="DP2" s="263"/>
    </row>
    <row r="3" spans="1:120" s="77" customFormat="1" ht="33" customHeight="1" x14ac:dyDescent="0.25">
      <c r="A3" s="72" t="s">
        <v>54</v>
      </c>
      <c r="B3" s="79" t="s">
        <v>0</v>
      </c>
      <c r="C3" s="79" t="s">
        <v>83</v>
      </c>
      <c r="D3" s="79" t="s">
        <v>84</v>
      </c>
      <c r="E3" s="79" t="s">
        <v>85</v>
      </c>
      <c r="F3" s="79" t="s">
        <v>86</v>
      </c>
      <c r="G3" s="79" t="s">
        <v>0</v>
      </c>
      <c r="H3" s="79" t="s">
        <v>87</v>
      </c>
      <c r="I3" s="79" t="s">
        <v>7</v>
      </c>
      <c r="J3" s="79" t="s">
        <v>5</v>
      </c>
      <c r="K3" s="79" t="s">
        <v>8</v>
      </c>
      <c r="L3" s="80" t="s">
        <v>9</v>
      </c>
      <c r="M3" s="80" t="s">
        <v>9</v>
      </c>
      <c r="N3" s="80" t="s">
        <v>9</v>
      </c>
      <c r="O3" s="80" t="s">
        <v>9</v>
      </c>
      <c r="P3" s="79" t="s">
        <v>11</v>
      </c>
      <c r="Q3" s="79" t="s">
        <v>12</v>
      </c>
      <c r="R3" s="79" t="s">
        <v>88</v>
      </c>
      <c r="S3" s="79" t="s">
        <v>89</v>
      </c>
      <c r="T3" s="79" t="s">
        <v>90</v>
      </c>
      <c r="U3" s="79" t="s">
        <v>91</v>
      </c>
      <c r="V3" s="79" t="s">
        <v>92</v>
      </c>
      <c r="W3" s="79" t="s">
        <v>93</v>
      </c>
      <c r="X3" s="79" t="s">
        <v>94</v>
      </c>
      <c r="Y3" s="79" t="s">
        <v>95</v>
      </c>
      <c r="Z3" s="81" t="s">
        <v>96</v>
      </c>
      <c r="AA3" s="81" t="s">
        <v>97</v>
      </c>
      <c r="AB3" s="81" t="s">
        <v>98</v>
      </c>
      <c r="AC3" s="82" t="s">
        <v>99</v>
      </c>
      <c r="AD3" s="82" t="s">
        <v>100</v>
      </c>
      <c r="AE3" s="82" t="s">
        <v>101</v>
      </c>
      <c r="AF3" s="82" t="s">
        <v>102</v>
      </c>
      <c r="AG3" s="82" t="s">
        <v>103</v>
      </c>
      <c r="AH3" s="289">
        <v>2022</v>
      </c>
      <c r="AI3" s="289" t="s">
        <v>104</v>
      </c>
      <c r="AJ3" s="82" t="s">
        <v>105</v>
      </c>
      <c r="AK3" s="82" t="s">
        <v>106</v>
      </c>
      <c r="AL3" s="83" t="s">
        <v>107</v>
      </c>
      <c r="AM3" s="83" t="s">
        <v>108</v>
      </c>
      <c r="AN3" s="290">
        <v>2022</v>
      </c>
      <c r="AO3" s="290" t="s">
        <v>109</v>
      </c>
      <c r="AP3" s="83" t="s">
        <v>110</v>
      </c>
      <c r="AQ3" s="83" t="s">
        <v>111</v>
      </c>
      <c r="AR3" s="122" t="s">
        <v>112</v>
      </c>
      <c r="AS3" s="122" t="s">
        <v>113</v>
      </c>
      <c r="AT3" s="122" t="s">
        <v>114</v>
      </c>
      <c r="AU3" s="122" t="s">
        <v>115</v>
      </c>
      <c r="AV3" s="122" t="s">
        <v>116</v>
      </c>
      <c r="AW3" s="84" t="s">
        <v>117</v>
      </c>
      <c r="AX3" s="84" t="s">
        <v>118</v>
      </c>
      <c r="AY3" s="84" t="s">
        <v>119</v>
      </c>
      <c r="AZ3" s="84" t="s">
        <v>120</v>
      </c>
      <c r="BA3" s="84" t="s">
        <v>121</v>
      </c>
      <c r="BB3" s="84" t="s">
        <v>122</v>
      </c>
      <c r="BC3" s="84" t="s">
        <v>123</v>
      </c>
      <c r="BD3" s="84" t="s">
        <v>124</v>
      </c>
      <c r="BE3" s="84" t="s">
        <v>125</v>
      </c>
      <c r="BF3" s="84" t="s">
        <v>126</v>
      </c>
      <c r="BG3" s="84" t="s">
        <v>127</v>
      </c>
      <c r="BH3" s="84" t="s">
        <v>128</v>
      </c>
      <c r="BI3" s="85" t="s">
        <v>129</v>
      </c>
      <c r="BJ3" s="85" t="s">
        <v>130</v>
      </c>
      <c r="BK3" s="85" t="s">
        <v>131</v>
      </c>
      <c r="BL3" s="85" t="s">
        <v>132</v>
      </c>
      <c r="BM3" s="85" t="s">
        <v>133</v>
      </c>
      <c r="BN3" s="85" t="s">
        <v>134</v>
      </c>
      <c r="BO3" s="85" t="s">
        <v>135</v>
      </c>
      <c r="BP3" s="85" t="s">
        <v>136</v>
      </c>
      <c r="BQ3" s="85" t="s">
        <v>137</v>
      </c>
      <c r="BR3" s="85" t="s">
        <v>138</v>
      </c>
      <c r="BS3" s="85" t="s">
        <v>139</v>
      </c>
      <c r="BT3" s="85" t="s">
        <v>140</v>
      </c>
      <c r="BU3" s="85" t="s">
        <v>141</v>
      </c>
      <c r="BV3" s="85" t="s">
        <v>142</v>
      </c>
      <c r="BW3" s="85" t="s">
        <v>62</v>
      </c>
      <c r="BX3" s="85" t="s">
        <v>143</v>
      </c>
      <c r="BY3" s="85" t="s">
        <v>144</v>
      </c>
      <c r="BZ3" s="85" t="s">
        <v>145</v>
      </c>
      <c r="CA3" s="85" t="s">
        <v>146</v>
      </c>
      <c r="CB3" s="85" t="s">
        <v>147</v>
      </c>
      <c r="CC3" s="85" t="s">
        <v>148</v>
      </c>
      <c r="CD3" s="85" t="s">
        <v>149</v>
      </c>
      <c r="CE3" s="85" t="s">
        <v>150</v>
      </c>
      <c r="CF3" s="85" t="s">
        <v>37</v>
      </c>
      <c r="CG3" s="86" t="s">
        <v>151</v>
      </c>
      <c r="CH3" s="86" t="s">
        <v>152</v>
      </c>
      <c r="CI3" s="86" t="s">
        <v>153</v>
      </c>
      <c r="CJ3" s="71" t="s">
        <v>154</v>
      </c>
      <c r="CK3" s="71" t="s">
        <v>155</v>
      </c>
      <c r="CL3" s="71" t="s">
        <v>156</v>
      </c>
      <c r="CM3" s="71" t="s">
        <v>157</v>
      </c>
      <c r="CN3" s="71" t="s">
        <v>158</v>
      </c>
      <c r="CO3" s="71" t="s">
        <v>159</v>
      </c>
      <c r="CP3" s="210" t="s">
        <v>160</v>
      </c>
      <c r="CQ3" s="211" t="s">
        <v>84</v>
      </c>
      <c r="CR3" s="87" t="s">
        <v>81</v>
      </c>
      <c r="CS3" s="88" t="s">
        <v>161</v>
      </c>
      <c r="CT3" s="88" t="s">
        <v>162</v>
      </c>
      <c r="CU3" s="88" t="s">
        <v>163</v>
      </c>
      <c r="CV3" s="88" t="s">
        <v>164</v>
      </c>
      <c r="CW3" s="88" t="s">
        <v>165</v>
      </c>
      <c r="CX3" s="88" t="s">
        <v>166</v>
      </c>
      <c r="CY3" s="88" t="s">
        <v>167</v>
      </c>
      <c r="CZ3" s="88" t="s">
        <v>168</v>
      </c>
      <c r="DA3" s="88" t="s">
        <v>169</v>
      </c>
      <c r="DB3" s="88" t="s">
        <v>170</v>
      </c>
      <c r="DC3" s="88" t="s">
        <v>171</v>
      </c>
      <c r="DD3" s="88" t="s">
        <v>172</v>
      </c>
      <c r="DE3" s="248" t="s">
        <v>141</v>
      </c>
      <c r="DF3" s="248" t="s">
        <v>142</v>
      </c>
      <c r="DG3" s="248" t="s">
        <v>62</v>
      </c>
      <c r="DH3" s="248" t="s">
        <v>143</v>
      </c>
      <c r="DI3" s="248" t="s">
        <v>144</v>
      </c>
      <c r="DJ3" s="248" t="s">
        <v>145</v>
      </c>
      <c r="DK3" s="248" t="s">
        <v>146</v>
      </c>
      <c r="DL3" s="248" t="s">
        <v>147</v>
      </c>
      <c r="DM3" s="248" t="s">
        <v>148</v>
      </c>
      <c r="DN3" s="248" t="s">
        <v>149</v>
      </c>
      <c r="DO3" s="248" t="s">
        <v>150</v>
      </c>
      <c r="DP3" s="249" t="s">
        <v>37</v>
      </c>
    </row>
    <row r="4" spans="1:120" s="226" customFormat="1" ht="39" customHeight="1" x14ac:dyDescent="0.25">
      <c r="A4" s="182" t="s">
        <v>173</v>
      </c>
      <c r="B4" s="188" t="s">
        <v>174</v>
      </c>
      <c r="C4" s="161" t="s">
        <v>175</v>
      </c>
      <c r="D4" s="345" t="s">
        <v>176</v>
      </c>
      <c r="E4" s="161" t="s">
        <v>177</v>
      </c>
      <c r="F4" s="303" t="s">
        <v>178</v>
      </c>
      <c r="G4" s="161" t="s">
        <v>174</v>
      </c>
      <c r="H4" s="176" t="s">
        <v>179</v>
      </c>
      <c r="I4" s="164" t="s">
        <v>180</v>
      </c>
      <c r="J4" s="176" t="s">
        <v>47</v>
      </c>
      <c r="K4" s="176" t="s">
        <v>181</v>
      </c>
      <c r="L4" s="176" t="s">
        <v>182</v>
      </c>
      <c r="M4" s="176" t="s">
        <v>183</v>
      </c>
      <c r="N4" s="176"/>
      <c r="O4" s="176"/>
      <c r="P4" s="176" t="s">
        <v>184</v>
      </c>
      <c r="Q4" s="176" t="s">
        <v>185</v>
      </c>
      <c r="R4" s="176" t="s">
        <v>186</v>
      </c>
      <c r="S4" s="176" t="s">
        <v>187</v>
      </c>
      <c r="T4" s="176" t="s">
        <v>188</v>
      </c>
      <c r="U4" s="176" t="s">
        <v>189</v>
      </c>
      <c r="V4" s="176" t="s">
        <v>190</v>
      </c>
      <c r="W4" s="176" t="s">
        <v>191</v>
      </c>
      <c r="X4" s="190">
        <f t="shared" ref="X4:X24" si="0">AM4</f>
        <v>99</v>
      </c>
      <c r="Y4" s="176" t="s">
        <v>192</v>
      </c>
      <c r="Z4" s="166" t="s">
        <v>193</v>
      </c>
      <c r="AA4" s="176" t="s">
        <v>1092</v>
      </c>
      <c r="AB4" s="176" t="s">
        <v>1093</v>
      </c>
      <c r="AC4" s="176" t="s">
        <v>196</v>
      </c>
      <c r="AD4" s="164" t="s">
        <v>197</v>
      </c>
      <c r="AE4" s="176" t="s">
        <v>198</v>
      </c>
      <c r="AF4" s="176">
        <v>89</v>
      </c>
      <c r="AG4" s="191">
        <v>89</v>
      </c>
      <c r="AH4" s="428">
        <v>89</v>
      </c>
      <c r="AI4" s="305">
        <v>100</v>
      </c>
      <c r="AJ4" s="176">
        <v>89</v>
      </c>
      <c r="AK4" s="191">
        <v>89</v>
      </c>
      <c r="AL4" s="191">
        <v>95</v>
      </c>
      <c r="AM4" s="171">
        <v>99</v>
      </c>
      <c r="AN4" s="431">
        <v>98.25</v>
      </c>
      <c r="AO4" s="432">
        <v>100</v>
      </c>
      <c r="AP4" s="511">
        <v>97.75</v>
      </c>
      <c r="AQ4" s="191">
        <v>0</v>
      </c>
      <c r="AR4" s="123">
        <f t="shared" ref="AR4:AR42" si="1">IFERROR(AL4/AF4,"0")</f>
        <v>1.0674157303370786</v>
      </c>
      <c r="AS4" s="123">
        <f t="shared" ref="AS4:AS42" si="2">IFERROR(AM4/AG4,"0")</f>
        <v>1.1123595505617978</v>
      </c>
      <c r="AT4" s="123">
        <f t="shared" ref="AT4:AT42" si="3">IFERROR(AO4/AI4,"0")</f>
        <v>1</v>
      </c>
      <c r="AU4" s="123">
        <f t="shared" ref="AU4:AU42" si="4">IFERROR(AP4/AJ4,"0")</f>
        <v>1.098314606741573</v>
      </c>
      <c r="AV4" s="123">
        <f t="shared" ref="AV4:AV42" si="5">IFERROR(AQ4/AK4,"0")</f>
        <v>0</v>
      </c>
      <c r="AW4" s="465">
        <v>0.89</v>
      </c>
      <c r="AX4" s="465">
        <v>0.89</v>
      </c>
      <c r="AY4" s="465">
        <v>0.89</v>
      </c>
      <c r="AZ4" s="465">
        <v>0.89</v>
      </c>
      <c r="BA4" s="465">
        <v>0.89</v>
      </c>
      <c r="BB4" s="465">
        <v>0.89</v>
      </c>
      <c r="BC4" s="465">
        <v>0.89</v>
      </c>
      <c r="BD4" s="465">
        <v>0.89</v>
      </c>
      <c r="BE4" s="465">
        <v>0.89</v>
      </c>
      <c r="BF4" s="465">
        <v>0.89</v>
      </c>
      <c r="BG4" s="465">
        <v>0.89</v>
      </c>
      <c r="BH4" s="465">
        <v>0.89</v>
      </c>
      <c r="BI4" s="491">
        <v>0.98250000000000004</v>
      </c>
      <c r="BJ4" s="491">
        <v>0.98250000000000004</v>
      </c>
      <c r="BK4" s="491">
        <v>0.98250000000000004</v>
      </c>
      <c r="BL4" s="491">
        <v>0.98250000000000004</v>
      </c>
      <c r="BM4" s="491">
        <v>0.98250000000000004</v>
      </c>
      <c r="BN4" s="506">
        <v>0.97750000000000004</v>
      </c>
      <c r="BO4" s="461">
        <v>0.97750000000000004</v>
      </c>
      <c r="BP4" s="461">
        <v>0.97750000000000004</v>
      </c>
      <c r="BQ4" s="461">
        <v>0.97750000000000004</v>
      </c>
      <c r="BR4" s="461">
        <v>0.97750000000000004</v>
      </c>
      <c r="BS4" s="461">
        <v>0.97750000000000004</v>
      </c>
      <c r="BT4" s="461">
        <v>0</v>
      </c>
      <c r="BU4" s="493" t="s">
        <v>1197</v>
      </c>
      <c r="BV4" s="174" t="s">
        <v>1197</v>
      </c>
      <c r="BW4" s="174" t="s">
        <v>1197</v>
      </c>
      <c r="BX4" s="174" t="s">
        <v>1197</v>
      </c>
      <c r="BY4" s="174" t="s">
        <v>1197</v>
      </c>
      <c r="BZ4" s="507" t="s">
        <v>1357</v>
      </c>
      <c r="CA4" s="174" t="s">
        <v>1418</v>
      </c>
      <c r="CB4" s="174" t="s">
        <v>1418</v>
      </c>
      <c r="CC4" s="174" t="s">
        <v>1357</v>
      </c>
      <c r="CD4" s="174" t="s">
        <v>1357</v>
      </c>
      <c r="CE4" s="174" t="s">
        <v>1357</v>
      </c>
      <c r="CF4" s="174"/>
      <c r="CG4" s="93"/>
      <c r="CH4" s="504">
        <f>AJ4-AP4</f>
        <v>-8.75</v>
      </c>
      <c r="CI4" s="74" t="s">
        <v>1413</v>
      </c>
      <c r="CJ4" s="74">
        <v>0</v>
      </c>
      <c r="CK4" s="74">
        <v>50</v>
      </c>
      <c r="CL4" s="74">
        <v>51</v>
      </c>
      <c r="CM4" s="74">
        <v>95</v>
      </c>
      <c r="CN4" s="74">
        <v>96</v>
      </c>
      <c r="CO4" s="74">
        <v>100</v>
      </c>
      <c r="CP4" s="212" t="s">
        <v>199</v>
      </c>
      <c r="CQ4" s="208" t="str">
        <f t="shared" ref="CQ4:CQ48" si="6">D4</f>
        <v>ESTRATÉGICO</v>
      </c>
      <c r="CR4" s="215">
        <f t="shared" ref="CR4:CR48" si="7">IFERROR(SUM(BI4:BT4)/SUM(AW4:BH4),0)</f>
        <v>1.009129213483146</v>
      </c>
      <c r="CS4" s="216">
        <f>IFERROR(SUM($BI4:BI4)/SUM($AW4:AW4),0)</f>
        <v>1.103932584269663</v>
      </c>
      <c r="CT4" s="216">
        <f>IFERROR(SUM($BI4:BJ4)/SUM($AW4:AX4),0)</f>
        <v>1.103932584269663</v>
      </c>
      <c r="CU4" s="216">
        <f>IFERROR(SUM($BI4:BK4)/SUM($AW4:AY4),0)</f>
        <v>1.103932584269663</v>
      </c>
      <c r="CV4" s="216">
        <f>IFERROR(SUM($BI4:BL4)/SUM($AW4:AZ4),0)</f>
        <v>1.103932584269663</v>
      </c>
      <c r="CW4" s="216">
        <f>IFERROR(SUM($BI4:BM4)/SUM($AW4:BA4),0)</f>
        <v>1.103932584269663</v>
      </c>
      <c r="CX4" s="216">
        <f>IFERROR(SUM($BI4:BN4)/SUM($AW4:BB4),0)</f>
        <v>1.1029962546816481</v>
      </c>
      <c r="CY4" s="216">
        <f>IFERROR(SUM($BI4:BO4)/SUM($AW4:BC4),0)</f>
        <v>1.102327447833066</v>
      </c>
      <c r="CZ4" s="216">
        <f>IFERROR(SUM($BI4:BP4)/SUM($AW4:BD4),0)</f>
        <v>1.1018258426966294</v>
      </c>
      <c r="DA4" s="216">
        <f>IFERROR(SUM($BI4:BQ4)/SUM($AW4:BE4),0)</f>
        <v>1.1014357053682899</v>
      </c>
      <c r="DB4" s="216">
        <f>IFERROR(SUM($BI4:BR4)/SUM($AW4:BF4),0)</f>
        <v>1.101123595505618</v>
      </c>
      <c r="DC4" s="216">
        <f>IFERROR(SUM($BI4:BS4)/SUM($AW4:BG4),0)</f>
        <v>1.1008682328907047</v>
      </c>
      <c r="DD4" s="216">
        <f>IFERROR(SUM($BI4:BT4)/SUM($AW4:BH4),0)</f>
        <v>1.009129213483146</v>
      </c>
      <c r="DE4" s="297">
        <f t="shared" ref="DE4:DE34" si="8">IFERROR(SUM(BI4)/SUM(AW4),"0")</f>
        <v>1.103932584269663</v>
      </c>
      <c r="DF4" s="298">
        <f>IFERROR(SUM($BI4:BJ4)/SUM($AW4:AX4),"0")</f>
        <v>1.103932584269663</v>
      </c>
      <c r="DG4" s="299">
        <f>IFERROR(SUM($BI4:BK4)/SUM($AW4:AY4),"0")</f>
        <v>1.103932584269663</v>
      </c>
      <c r="DH4" s="299">
        <f>IFERROR(SUM($BI4:BL4)/SUM($AW4:AZ4),"0")</f>
        <v>1.103932584269663</v>
      </c>
      <c r="DI4" s="299">
        <f>IFERROR(SUM($BI4:BM4)/SUM($AW4:BA4),"0")</f>
        <v>1.103932584269663</v>
      </c>
      <c r="DJ4" s="299">
        <f>IFERROR(SUM($BI4:BN4)/SUM($AW4:BB4),"0")</f>
        <v>1.1029962546816481</v>
      </c>
      <c r="DK4" s="299">
        <f>IFERROR(SUM($BI4:BO4)/SUM($AW4:BC4),"0")</f>
        <v>1.102327447833066</v>
      </c>
      <c r="DL4" s="299">
        <f>IFERROR(SUM($BI4:BP4)/SUM($AW4:BD4),"0")</f>
        <v>1.1018258426966294</v>
      </c>
      <c r="DM4" s="299">
        <f>IFERROR(SUM($BI4:BQ4)/SUM($AW4:BE4),"0")</f>
        <v>1.1014357053682899</v>
      </c>
      <c r="DN4" s="299">
        <f>IFERROR(SUM($BI4:BR4)/SUM($AW4:BF4),"0")</f>
        <v>1.101123595505618</v>
      </c>
      <c r="DO4" s="299">
        <f>IFERROR(SUM($BI4:BS4)/SUM($AW4:BG4),"0")</f>
        <v>1.1008682328907047</v>
      </c>
      <c r="DP4" s="300">
        <f>IFERROR(SUM($BI4:BT4)/SUM($AW4:BH4),"0")</f>
        <v>1.009129213483146</v>
      </c>
    </row>
    <row r="5" spans="1:120" s="226" customFormat="1" ht="39" customHeight="1" x14ac:dyDescent="0.25">
      <c r="A5" s="198" t="s">
        <v>200</v>
      </c>
      <c r="B5" s="188" t="s">
        <v>201</v>
      </c>
      <c r="C5" s="176" t="s">
        <v>202</v>
      </c>
      <c r="D5" s="161" t="s">
        <v>176</v>
      </c>
      <c r="E5" s="161" t="s">
        <v>177</v>
      </c>
      <c r="F5" s="293" t="s">
        <v>203</v>
      </c>
      <c r="G5" s="161" t="s">
        <v>201</v>
      </c>
      <c r="H5" s="176" t="s">
        <v>204</v>
      </c>
      <c r="I5" s="164" t="s">
        <v>180</v>
      </c>
      <c r="J5" s="176" t="s">
        <v>205</v>
      </c>
      <c r="K5" s="176" t="s">
        <v>181</v>
      </c>
      <c r="L5" s="176" t="s">
        <v>182</v>
      </c>
      <c r="M5" s="176" t="s">
        <v>183</v>
      </c>
      <c r="N5" s="176" t="s">
        <v>206</v>
      </c>
      <c r="O5" s="176"/>
      <c r="P5" s="176" t="s">
        <v>207</v>
      </c>
      <c r="Q5" s="176" t="s">
        <v>208</v>
      </c>
      <c r="R5" s="176" t="s">
        <v>209</v>
      </c>
      <c r="S5" s="176" t="s">
        <v>210</v>
      </c>
      <c r="T5" s="176" t="s">
        <v>211</v>
      </c>
      <c r="U5" s="176" t="s">
        <v>212</v>
      </c>
      <c r="V5" s="176" t="s">
        <v>213</v>
      </c>
      <c r="W5" s="176" t="s">
        <v>214</v>
      </c>
      <c r="X5" s="190">
        <f t="shared" si="0"/>
        <v>25</v>
      </c>
      <c r="Y5" s="176">
        <v>0</v>
      </c>
      <c r="Z5" s="166" t="s">
        <v>215</v>
      </c>
      <c r="AA5" s="176" t="s">
        <v>216</v>
      </c>
      <c r="AB5" s="176" t="s">
        <v>217</v>
      </c>
      <c r="AC5" s="176" t="s">
        <v>218</v>
      </c>
      <c r="AD5" s="176" t="s">
        <v>219</v>
      </c>
      <c r="AE5" s="176" t="s">
        <v>220</v>
      </c>
      <c r="AF5" s="176">
        <v>0</v>
      </c>
      <c r="AG5" s="191">
        <v>25</v>
      </c>
      <c r="AH5" s="428">
        <v>25</v>
      </c>
      <c r="AI5" s="305">
        <v>100</v>
      </c>
      <c r="AJ5" s="176">
        <v>35</v>
      </c>
      <c r="AK5" s="191">
        <v>25</v>
      </c>
      <c r="AL5" s="176">
        <v>0</v>
      </c>
      <c r="AM5" s="171">
        <v>25</v>
      </c>
      <c r="AN5" s="428">
        <v>25</v>
      </c>
      <c r="AO5" s="432">
        <v>100</v>
      </c>
      <c r="AP5" s="511">
        <v>34.65</v>
      </c>
      <c r="AQ5" s="191">
        <v>0</v>
      </c>
      <c r="AR5" s="221" t="str">
        <f t="shared" si="1"/>
        <v>0</v>
      </c>
      <c r="AS5" s="221">
        <f t="shared" si="2"/>
        <v>1</v>
      </c>
      <c r="AT5" s="221">
        <f t="shared" si="3"/>
        <v>1</v>
      </c>
      <c r="AU5" s="221">
        <f t="shared" si="4"/>
        <v>0.99</v>
      </c>
      <c r="AV5" s="221">
        <f t="shared" si="5"/>
        <v>0</v>
      </c>
      <c r="AW5" s="461">
        <v>0</v>
      </c>
      <c r="AX5" s="480">
        <v>2.5000000000000001E-3</v>
      </c>
      <c r="AY5" s="480">
        <v>0</v>
      </c>
      <c r="AZ5" s="480">
        <v>0</v>
      </c>
      <c r="BA5" s="480">
        <v>0.11</v>
      </c>
      <c r="BB5" s="480">
        <v>3.1E-2</v>
      </c>
      <c r="BC5" s="480">
        <v>0.14000000000000001</v>
      </c>
      <c r="BD5" s="509">
        <v>6.3E-2</v>
      </c>
      <c r="BE5" s="509">
        <v>3.5000000000000001E-3</v>
      </c>
      <c r="BF5" s="462">
        <v>0</v>
      </c>
      <c r="BG5" s="462">
        <v>0</v>
      </c>
      <c r="BH5" s="461">
        <v>0</v>
      </c>
      <c r="BI5" s="461">
        <v>0</v>
      </c>
      <c r="BJ5" s="461">
        <v>0</v>
      </c>
      <c r="BK5" s="461">
        <v>0</v>
      </c>
      <c r="BL5" s="461">
        <v>0</v>
      </c>
      <c r="BM5" s="461">
        <v>2.75E-2</v>
      </c>
      <c r="BN5" s="508">
        <v>0.11600000000000001</v>
      </c>
      <c r="BO5" s="509">
        <v>0.14000000000000001</v>
      </c>
      <c r="BP5" s="461">
        <v>6.3E-2</v>
      </c>
      <c r="BQ5" s="461">
        <v>0</v>
      </c>
      <c r="BR5" s="461">
        <v>0</v>
      </c>
      <c r="BS5" s="461">
        <v>0</v>
      </c>
      <c r="BT5" s="461">
        <v>0</v>
      </c>
      <c r="BU5" s="179" t="s">
        <v>1132</v>
      </c>
      <c r="BV5" s="179" t="s">
        <v>1179</v>
      </c>
      <c r="BW5" s="179" t="s">
        <v>1198</v>
      </c>
      <c r="BX5" s="174" t="s">
        <v>1319</v>
      </c>
      <c r="BY5" s="179" t="s">
        <v>1338</v>
      </c>
      <c r="BZ5" s="179" t="s">
        <v>1358</v>
      </c>
      <c r="CA5" s="179" t="s">
        <v>1419</v>
      </c>
      <c r="CB5" s="179" t="s">
        <v>1436</v>
      </c>
      <c r="CC5" s="179"/>
      <c r="CD5" s="179"/>
      <c r="CE5" s="179"/>
      <c r="CF5" s="179"/>
      <c r="CG5" s="192"/>
      <c r="CH5" s="504">
        <f t="shared" ref="CH5:CH68" si="9">AJ5-AP5</f>
        <v>0.35000000000000142</v>
      </c>
      <c r="CI5" s="176" t="s">
        <v>1413</v>
      </c>
      <c r="CJ5" s="237">
        <v>0</v>
      </c>
      <c r="CK5" s="237">
        <v>10</v>
      </c>
      <c r="CL5" s="237">
        <v>11</v>
      </c>
      <c r="CM5" s="237">
        <v>20</v>
      </c>
      <c r="CN5" s="237">
        <v>21</v>
      </c>
      <c r="CO5" s="237">
        <v>25</v>
      </c>
      <c r="CP5" s="191" t="s">
        <v>221</v>
      </c>
      <c r="CQ5" s="223" t="str">
        <f t="shared" si="6"/>
        <v>ESTRATÉGICO</v>
      </c>
      <c r="CR5" s="224">
        <f t="shared" si="7"/>
        <v>0.99</v>
      </c>
      <c r="CS5" s="225">
        <f>IFERROR(SUM($BI5:BI5)/SUM($AW5:AW5),0)</f>
        <v>0</v>
      </c>
      <c r="CT5" s="225">
        <f>IFERROR(SUM($BI5:BJ5)/SUM($AW5:AX5),0)</f>
        <v>0</v>
      </c>
      <c r="CU5" s="225">
        <f>IFERROR(SUM($BI5:BK5)/SUM($AW5:AY5),0)</f>
        <v>0</v>
      </c>
      <c r="CV5" s="225">
        <f>IFERROR(SUM($BI5:BL5)/SUM($AW5:AZ5),0)</f>
        <v>0</v>
      </c>
      <c r="CW5" s="225">
        <f>IFERROR(SUM($BI5:BM5)/SUM($AW5:BA5),0)</f>
        <v>0.24444444444444444</v>
      </c>
      <c r="CX5" s="225">
        <f>IFERROR(SUM($BI5:BN5)/SUM($AW5:BB5),0)</f>
        <v>1</v>
      </c>
      <c r="CY5" s="225">
        <f>IFERROR(SUM($BI5:BO5)/SUM($AW5:BC5),0)</f>
        <v>1</v>
      </c>
      <c r="CZ5" s="225">
        <f>IFERROR(SUM($BI5:BP5)/SUM($AW5:BD5),0)</f>
        <v>1</v>
      </c>
      <c r="DA5" s="225">
        <f>IFERROR(SUM($BI5:BQ5)/SUM($AW5:BE5),0)</f>
        <v>0.99</v>
      </c>
      <c r="DB5" s="225">
        <f>IFERROR(SUM($BI5:BR5)/SUM($AW5:BF5),0)</f>
        <v>0.99</v>
      </c>
      <c r="DC5" s="225">
        <f>IFERROR(SUM($BI5:BS5)/SUM($AW5:BG5),0)</f>
        <v>0.99</v>
      </c>
      <c r="DD5" s="225">
        <f>IFERROR(SUM($BI5:BT5)/SUM($AW5:BH5),0)</f>
        <v>0.99</v>
      </c>
      <c r="DE5" s="254" t="str">
        <f t="shared" si="8"/>
        <v>0</v>
      </c>
      <c r="DF5" s="255">
        <f>IFERROR(SUM($BI5:BJ5)/SUM($AW5:AX5),"0")</f>
        <v>0</v>
      </c>
      <c r="DG5" s="256">
        <f>IFERROR(SUM($BI5:BK5)/SUM($AW5:AY5),"0")</f>
        <v>0</v>
      </c>
      <c r="DH5" s="256">
        <f>IFERROR(SUM($BI5:BL5)/SUM($AW5:AZ5),"0")</f>
        <v>0</v>
      </c>
      <c r="DI5" s="256">
        <f>IFERROR(SUM($BI5:BM5)/SUM($AW5:BA5),"0")</f>
        <v>0.24444444444444444</v>
      </c>
      <c r="DJ5" s="256">
        <f>IFERROR(SUM($BI5:BN5)/SUM($AW5:BB5),"0")</f>
        <v>1</v>
      </c>
      <c r="DK5" s="256">
        <f>IFERROR(SUM($BI5:BO5)/SUM($AW5:BC5),"0")</f>
        <v>1</v>
      </c>
      <c r="DL5" s="256">
        <f>IFERROR(SUM($BI5:BP5)/SUM($AW5:BD5),"0")</f>
        <v>1</v>
      </c>
      <c r="DM5" s="256">
        <f>IFERROR(SUM($BI5:BQ5)/SUM($AW5:BE5),"0")</f>
        <v>0.99</v>
      </c>
      <c r="DN5" s="256">
        <f>IFERROR(SUM($BI5:BR5)/SUM($AW5:BF5),"0")</f>
        <v>0.99</v>
      </c>
      <c r="DO5" s="256">
        <f>IFERROR(SUM($BI5:BS5)/SUM($AW5:BG5),"0")</f>
        <v>0.99</v>
      </c>
      <c r="DP5" s="257">
        <f>IFERROR(SUM($BI5:BT5)/SUM($AW5:BH5),"0")</f>
        <v>0.99</v>
      </c>
    </row>
    <row r="6" spans="1:120" s="76" customFormat="1" ht="39" customHeight="1" x14ac:dyDescent="0.3">
      <c r="A6" s="198" t="s">
        <v>222</v>
      </c>
      <c r="B6" s="188" t="s">
        <v>201</v>
      </c>
      <c r="C6" s="176" t="s">
        <v>223</v>
      </c>
      <c r="D6" s="161" t="s">
        <v>176</v>
      </c>
      <c r="E6" s="161" t="s">
        <v>177</v>
      </c>
      <c r="F6" s="293" t="s">
        <v>224</v>
      </c>
      <c r="G6" s="161" t="s">
        <v>201</v>
      </c>
      <c r="H6" s="176" t="s">
        <v>225</v>
      </c>
      <c r="I6" s="164" t="s">
        <v>180</v>
      </c>
      <c r="J6" s="176" t="s">
        <v>205</v>
      </c>
      <c r="K6" s="176" t="s">
        <v>181</v>
      </c>
      <c r="L6" s="176" t="s">
        <v>182</v>
      </c>
      <c r="M6" s="376" t="s">
        <v>183</v>
      </c>
      <c r="N6" s="176"/>
      <c r="O6" s="176"/>
      <c r="P6" s="176" t="s">
        <v>207</v>
      </c>
      <c r="Q6" s="176" t="s">
        <v>208</v>
      </c>
      <c r="R6" s="176" t="s">
        <v>209</v>
      </c>
      <c r="S6" s="176" t="s">
        <v>210</v>
      </c>
      <c r="T6" s="176" t="s">
        <v>226</v>
      </c>
      <c r="U6" s="176" t="s">
        <v>227</v>
      </c>
      <c r="V6" s="176" t="s">
        <v>213</v>
      </c>
      <c r="W6" s="176" t="s">
        <v>214</v>
      </c>
      <c r="X6" s="190">
        <f t="shared" si="0"/>
        <v>20</v>
      </c>
      <c r="Y6" s="176">
        <v>0</v>
      </c>
      <c r="Z6" s="166" t="s">
        <v>215</v>
      </c>
      <c r="AA6" s="176" t="s">
        <v>216</v>
      </c>
      <c r="AB6" s="176" t="s">
        <v>217</v>
      </c>
      <c r="AC6" s="176" t="s">
        <v>218</v>
      </c>
      <c r="AD6" s="176" t="s">
        <v>219</v>
      </c>
      <c r="AE6" s="176" t="s">
        <v>220</v>
      </c>
      <c r="AF6" s="176">
        <v>10</v>
      </c>
      <c r="AG6" s="191">
        <v>20</v>
      </c>
      <c r="AH6" s="428">
        <v>30</v>
      </c>
      <c r="AI6" s="305">
        <v>100</v>
      </c>
      <c r="AJ6" s="176">
        <v>20</v>
      </c>
      <c r="AK6" s="191">
        <v>20</v>
      </c>
      <c r="AL6" s="191">
        <v>10</v>
      </c>
      <c r="AM6" s="171">
        <v>20</v>
      </c>
      <c r="AN6" s="428">
        <v>30</v>
      </c>
      <c r="AO6" s="432">
        <v>100</v>
      </c>
      <c r="AP6" s="511">
        <v>17</v>
      </c>
      <c r="AQ6" s="191">
        <v>0</v>
      </c>
      <c r="AR6" s="221">
        <f t="shared" si="1"/>
        <v>1</v>
      </c>
      <c r="AS6" s="221">
        <f t="shared" si="2"/>
        <v>1</v>
      </c>
      <c r="AT6" s="221">
        <f t="shared" si="3"/>
        <v>1</v>
      </c>
      <c r="AU6" s="221">
        <f t="shared" si="4"/>
        <v>0.85</v>
      </c>
      <c r="AV6" s="221">
        <f t="shared" si="5"/>
        <v>0</v>
      </c>
      <c r="AW6" s="461">
        <v>0.01</v>
      </c>
      <c r="AX6" s="461">
        <v>0.02</v>
      </c>
      <c r="AY6" s="461">
        <v>0.02</v>
      </c>
      <c r="AZ6" s="462">
        <v>0.03</v>
      </c>
      <c r="BA6" s="462">
        <v>0.02</v>
      </c>
      <c r="BB6" s="461">
        <v>0.02</v>
      </c>
      <c r="BC6" s="461">
        <v>0.03</v>
      </c>
      <c r="BD6" s="462">
        <v>0.02</v>
      </c>
      <c r="BE6" s="461">
        <v>0.02</v>
      </c>
      <c r="BF6" s="463">
        <v>0.01</v>
      </c>
      <c r="BG6" s="465">
        <v>0</v>
      </c>
      <c r="BH6" s="465">
        <v>0</v>
      </c>
      <c r="BI6" s="465">
        <v>0.01</v>
      </c>
      <c r="BJ6" s="465">
        <v>0.02</v>
      </c>
      <c r="BK6" s="465">
        <v>0.02</v>
      </c>
      <c r="BL6" s="465">
        <v>0.03</v>
      </c>
      <c r="BM6" s="465">
        <v>0.02</v>
      </c>
      <c r="BN6" s="510">
        <v>0.02</v>
      </c>
      <c r="BO6" s="506">
        <v>0.03</v>
      </c>
      <c r="BP6" s="465">
        <v>0.02</v>
      </c>
      <c r="BQ6" s="465">
        <v>0</v>
      </c>
      <c r="BR6" s="465">
        <v>0</v>
      </c>
      <c r="BS6" s="465">
        <v>0</v>
      </c>
      <c r="BT6" s="465">
        <v>0</v>
      </c>
      <c r="BU6" s="179" t="s">
        <v>1133</v>
      </c>
      <c r="BV6" s="179" t="s">
        <v>1210</v>
      </c>
      <c r="BW6" s="179" t="s">
        <v>1199</v>
      </c>
      <c r="BX6" s="174" t="s">
        <v>1329</v>
      </c>
      <c r="BY6" s="179" t="s">
        <v>1339</v>
      </c>
      <c r="BZ6" s="179" t="s">
        <v>1359</v>
      </c>
      <c r="CA6" s="179" t="s">
        <v>1420</v>
      </c>
      <c r="CB6" s="179" t="s">
        <v>1437</v>
      </c>
      <c r="CC6" s="179"/>
      <c r="CD6" s="179"/>
      <c r="CE6" s="179"/>
      <c r="CF6" s="179"/>
      <c r="CG6" s="192"/>
      <c r="CH6" s="504">
        <f t="shared" si="9"/>
        <v>3</v>
      </c>
      <c r="CI6" s="176" t="s">
        <v>1413</v>
      </c>
      <c r="CJ6" s="237">
        <v>0</v>
      </c>
      <c r="CK6" s="237">
        <v>10</v>
      </c>
      <c r="CL6" s="237">
        <v>11</v>
      </c>
      <c r="CM6" s="237">
        <v>17</v>
      </c>
      <c r="CN6" s="237">
        <v>18</v>
      </c>
      <c r="CO6" s="237">
        <v>20</v>
      </c>
      <c r="CP6" s="236"/>
      <c r="CQ6" s="223" t="str">
        <f t="shared" si="6"/>
        <v>ESTRATÉGICO</v>
      </c>
      <c r="CR6" s="224">
        <f t="shared" si="7"/>
        <v>0.85</v>
      </c>
      <c r="CS6" s="225">
        <f>IFERROR(SUM($BI6:BI6)/SUM($AW6:AW6),0)</f>
        <v>1</v>
      </c>
      <c r="CT6" s="225">
        <f>IFERROR(SUM($BI6:BJ6)/SUM($AW6:AX6),0)</f>
        <v>1</v>
      </c>
      <c r="CU6" s="225">
        <f>IFERROR(SUM($BI6:BK6)/SUM($AW6:AY6),0)</f>
        <v>1</v>
      </c>
      <c r="CV6" s="225">
        <f>IFERROR(SUM($BI6:BL6)/SUM($AW6:AZ6),0)</f>
        <v>1</v>
      </c>
      <c r="CW6" s="225">
        <f>IFERROR(SUM($BI6:BM6)/SUM($AW6:BA6),0)</f>
        <v>1</v>
      </c>
      <c r="CX6" s="225">
        <f>IFERROR(SUM($BI6:BN6)/SUM($AW6:BB6),0)</f>
        <v>1</v>
      </c>
      <c r="CY6" s="225">
        <f>IFERROR(SUM($BI6:BO6)/SUM($AW6:BC6),0)</f>
        <v>1</v>
      </c>
      <c r="CZ6" s="225">
        <f>IFERROR(SUM($BI6:BP6)/SUM($AW6:BD6),0)</f>
        <v>1</v>
      </c>
      <c r="DA6" s="225">
        <f>IFERROR(SUM($BI6:BQ6)/SUM($AW6:BE6),0)</f>
        <v>0.89473684210526316</v>
      </c>
      <c r="DB6" s="225">
        <f>IFERROR(SUM($BI6:BR6)/SUM($AW6:BF6),0)</f>
        <v>0.85</v>
      </c>
      <c r="DC6" s="225">
        <f>IFERROR(SUM($BI6:BS6)/SUM($AW6:BG6),0)</f>
        <v>0.85</v>
      </c>
      <c r="DD6" s="225">
        <f>IFERROR(SUM($BI6:BT6)/SUM($AW6:BH6),0)</f>
        <v>0.85</v>
      </c>
      <c r="DE6" s="250">
        <f t="shared" si="8"/>
        <v>1</v>
      </c>
      <c r="DF6" s="251">
        <f>IFERROR(SUM($BI6:BJ6)/SUM($AW6:AX6),"0")</f>
        <v>1</v>
      </c>
      <c r="DG6" s="252">
        <f>IFERROR(SUM($BI6:BK6)/SUM($AW6:AY6),"0")</f>
        <v>1</v>
      </c>
      <c r="DH6" s="252">
        <f>IFERROR(SUM($BI6:BL6)/SUM($AW6:AZ6),"0")</f>
        <v>1</v>
      </c>
      <c r="DI6" s="252">
        <f>IFERROR(SUM($BI6:BM6)/SUM($AW6:BA6),"0")</f>
        <v>1</v>
      </c>
      <c r="DJ6" s="252">
        <f>IFERROR(SUM($BI6:BN6)/SUM($AW6:BB6),"0")</f>
        <v>1</v>
      </c>
      <c r="DK6" s="252">
        <f>IFERROR(SUM($BI6:BO6)/SUM($AW6:BC6),"0")</f>
        <v>1</v>
      </c>
      <c r="DL6" s="252">
        <f>IFERROR(SUM($BI6:BP6)/SUM($AW6:BD6),"0")</f>
        <v>1</v>
      </c>
      <c r="DM6" s="252">
        <f>IFERROR(SUM($BI6:BQ6)/SUM($AW6:BE6),"0")</f>
        <v>0.89473684210526316</v>
      </c>
      <c r="DN6" s="252">
        <f>IFERROR(SUM($BI6:BR6)/SUM($AW6:BF6),"0")</f>
        <v>0.85</v>
      </c>
      <c r="DO6" s="252">
        <f>IFERROR(SUM($BI6:BS6)/SUM($AW6:BG6),"0")</f>
        <v>0.85</v>
      </c>
      <c r="DP6" s="253">
        <f>IFERROR(SUM($BI6:BT6)/SUM($AW6:BH6),"0")</f>
        <v>0.85</v>
      </c>
    </row>
    <row r="7" spans="1:120" s="76" customFormat="1" ht="39" customHeight="1" x14ac:dyDescent="0.3">
      <c r="A7" s="198" t="s">
        <v>228</v>
      </c>
      <c r="B7" s="188" t="s">
        <v>201</v>
      </c>
      <c r="C7" s="176" t="s">
        <v>229</v>
      </c>
      <c r="D7" s="176" t="s">
        <v>176</v>
      </c>
      <c r="E7" s="161" t="s">
        <v>177</v>
      </c>
      <c r="F7" s="293" t="s">
        <v>230</v>
      </c>
      <c r="G7" s="161" t="s">
        <v>201</v>
      </c>
      <c r="H7" s="176" t="s">
        <v>231</v>
      </c>
      <c r="I7" s="164" t="s">
        <v>180</v>
      </c>
      <c r="J7" s="176" t="s">
        <v>205</v>
      </c>
      <c r="K7" s="176" t="s">
        <v>181</v>
      </c>
      <c r="L7" s="176" t="s">
        <v>182</v>
      </c>
      <c r="M7" s="176" t="s">
        <v>183</v>
      </c>
      <c r="N7" s="176"/>
      <c r="O7" s="176"/>
      <c r="P7" s="176" t="s">
        <v>232</v>
      </c>
      <c r="Q7" s="176" t="s">
        <v>208</v>
      </c>
      <c r="R7" s="176" t="s">
        <v>232</v>
      </c>
      <c r="S7" s="176" t="s">
        <v>233</v>
      </c>
      <c r="T7" s="176" t="s">
        <v>234</v>
      </c>
      <c r="U7" s="176" t="s">
        <v>233</v>
      </c>
      <c r="V7" s="176" t="s">
        <v>213</v>
      </c>
      <c r="W7" s="176" t="s">
        <v>233</v>
      </c>
      <c r="X7" s="190">
        <f t="shared" si="0"/>
        <v>2</v>
      </c>
      <c r="Y7" s="176">
        <v>0</v>
      </c>
      <c r="Z7" s="166" t="s">
        <v>215</v>
      </c>
      <c r="AA7" s="176" t="s">
        <v>216</v>
      </c>
      <c r="AB7" s="176" t="s">
        <v>217</v>
      </c>
      <c r="AC7" s="176" t="s">
        <v>218</v>
      </c>
      <c r="AD7" s="176" t="s">
        <v>219</v>
      </c>
      <c r="AE7" s="176" t="s">
        <v>220</v>
      </c>
      <c r="AF7" s="176">
        <v>0</v>
      </c>
      <c r="AG7" s="191">
        <v>2</v>
      </c>
      <c r="AH7" s="428">
        <v>3</v>
      </c>
      <c r="AI7" s="305">
        <v>100</v>
      </c>
      <c r="AJ7" s="176">
        <v>2</v>
      </c>
      <c r="AK7" s="191">
        <v>2</v>
      </c>
      <c r="AL7" s="176">
        <v>0</v>
      </c>
      <c r="AM7" s="171">
        <v>2</v>
      </c>
      <c r="AN7" s="433">
        <v>1</v>
      </c>
      <c r="AO7" s="434">
        <v>33</v>
      </c>
      <c r="AP7" s="512">
        <v>3</v>
      </c>
      <c r="AQ7" s="191">
        <v>0</v>
      </c>
      <c r="AR7" s="221" t="str">
        <f t="shared" si="1"/>
        <v>0</v>
      </c>
      <c r="AS7" s="221">
        <f t="shared" si="2"/>
        <v>1</v>
      </c>
      <c r="AT7" s="221">
        <f t="shared" si="3"/>
        <v>0.33</v>
      </c>
      <c r="AU7" s="221">
        <f t="shared" si="4"/>
        <v>1.5</v>
      </c>
      <c r="AV7" s="221">
        <f t="shared" si="5"/>
        <v>0</v>
      </c>
      <c r="AW7" s="466">
        <v>0</v>
      </c>
      <c r="AX7" s="466">
        <v>0</v>
      </c>
      <c r="AY7" s="466">
        <v>0</v>
      </c>
      <c r="AZ7" s="466">
        <v>0</v>
      </c>
      <c r="BA7" s="466">
        <v>0</v>
      </c>
      <c r="BB7" s="466">
        <v>1</v>
      </c>
      <c r="BC7" s="466">
        <v>0</v>
      </c>
      <c r="BD7" s="466">
        <v>0</v>
      </c>
      <c r="BE7" s="466">
        <v>0</v>
      </c>
      <c r="BF7" s="466">
        <v>0</v>
      </c>
      <c r="BG7" s="466">
        <v>0</v>
      </c>
      <c r="BH7" s="476">
        <v>1</v>
      </c>
      <c r="BI7" s="497">
        <v>1</v>
      </c>
      <c r="BJ7" s="466">
        <v>0</v>
      </c>
      <c r="BK7" s="476">
        <v>1</v>
      </c>
      <c r="BL7" s="466">
        <v>0</v>
      </c>
      <c r="BM7" s="466">
        <v>0</v>
      </c>
      <c r="BN7" s="476">
        <v>1</v>
      </c>
      <c r="BO7" s="466">
        <v>0</v>
      </c>
      <c r="BP7" s="466">
        <v>0</v>
      </c>
      <c r="BQ7" s="466">
        <v>0</v>
      </c>
      <c r="BR7" s="466">
        <v>0</v>
      </c>
      <c r="BS7" s="466">
        <v>0</v>
      </c>
      <c r="BT7" s="466">
        <v>0</v>
      </c>
      <c r="BU7" s="174" t="s">
        <v>1313</v>
      </c>
      <c r="BV7" s="174" t="s">
        <v>1312</v>
      </c>
      <c r="BW7" s="174" t="s">
        <v>1211</v>
      </c>
      <c r="BX7" s="174" t="s">
        <v>1330</v>
      </c>
      <c r="BY7" s="174" t="s">
        <v>1340</v>
      </c>
      <c r="BZ7" s="179" t="s">
        <v>1360</v>
      </c>
      <c r="CA7" s="179" t="s">
        <v>1421</v>
      </c>
      <c r="CB7" s="179" t="s">
        <v>1438</v>
      </c>
      <c r="CC7" s="179"/>
      <c r="CD7" s="179"/>
      <c r="CE7" s="179"/>
      <c r="CF7" s="179"/>
      <c r="CG7" s="192" t="s">
        <v>1180</v>
      </c>
      <c r="CH7" s="504">
        <f t="shared" si="9"/>
        <v>-1</v>
      </c>
      <c r="CI7" s="176" t="s">
        <v>1413</v>
      </c>
      <c r="CJ7" s="171">
        <v>0</v>
      </c>
      <c r="CK7" s="171">
        <v>1</v>
      </c>
      <c r="CL7" s="171">
        <v>1</v>
      </c>
      <c r="CM7" s="171">
        <v>1</v>
      </c>
      <c r="CN7" s="171">
        <v>1</v>
      </c>
      <c r="CO7" s="171">
        <v>2</v>
      </c>
      <c r="CP7" s="236"/>
      <c r="CQ7" s="223" t="str">
        <f t="shared" si="6"/>
        <v>ESTRATÉGICO</v>
      </c>
      <c r="CR7" s="224">
        <f t="shared" si="7"/>
        <v>1.5</v>
      </c>
      <c r="CS7" s="225">
        <f>IFERROR(SUM($BI7:BI7)/SUM($AW7:AW7),0)</f>
        <v>0</v>
      </c>
      <c r="CT7" s="225">
        <f>IFERROR(SUM($BI7:BJ7)/SUM($AW7:AX7),0)</f>
        <v>0</v>
      </c>
      <c r="CU7" s="225">
        <f>IFERROR(SUM($BI7:BK7)/SUM($AW7:AY7),0)</f>
        <v>0</v>
      </c>
      <c r="CV7" s="225">
        <f>IFERROR(SUM($BI7:BL7)/SUM($AW7:AZ7),0)</f>
        <v>0</v>
      </c>
      <c r="CW7" s="225">
        <f>IFERROR(SUM($BI7:BM7)/SUM($AW7:BA7),0)</f>
        <v>0</v>
      </c>
      <c r="CX7" s="225">
        <f>IFERROR(SUM($BI7:BN7)/SUM($AW7:BB7),0)</f>
        <v>3</v>
      </c>
      <c r="CY7" s="225">
        <f>IFERROR(SUM($BI7:BO7)/SUM($AW7:BC7),0)</f>
        <v>3</v>
      </c>
      <c r="CZ7" s="225">
        <f>IFERROR(SUM($BI7:BP7)/SUM($AW7:BD7),0)</f>
        <v>3</v>
      </c>
      <c r="DA7" s="225">
        <f>IFERROR(SUM($BI7:BQ7)/SUM($AW7:BE7),0)</f>
        <v>3</v>
      </c>
      <c r="DB7" s="225">
        <f>IFERROR(SUM($BI7:BR7)/SUM($AW7:BF7),0)</f>
        <v>3</v>
      </c>
      <c r="DC7" s="225">
        <f>IFERROR(SUM($BI7:BS7)/SUM($AW7:BG7),0)</f>
        <v>3</v>
      </c>
      <c r="DD7" s="225">
        <f>IFERROR(SUM($BI7:BT7)/SUM($AW7:BH7),0)</f>
        <v>1.5</v>
      </c>
      <c r="DE7" s="254" t="str">
        <f t="shared" si="8"/>
        <v>0</v>
      </c>
      <c r="DF7" s="255" t="str">
        <f>IFERROR(SUM($BI7:BJ7)/SUM($AW7:AX7),"0")</f>
        <v>0</v>
      </c>
      <c r="DG7" s="256" t="str">
        <f>IFERROR(SUM($BI7:BK7)/SUM($AW7:AY7),"0")</f>
        <v>0</v>
      </c>
      <c r="DH7" s="256" t="str">
        <f>IFERROR(SUM($BI7:BL7)/SUM($AW7:AZ7),"0")</f>
        <v>0</v>
      </c>
      <c r="DI7" s="256" t="str">
        <f>IFERROR(SUM($BI7:BM7)/SUM($AW7:BA7),"0")</f>
        <v>0</v>
      </c>
      <c r="DJ7" s="256">
        <f>IFERROR(SUM($BI7:BN7)/SUM($AW7:BB7),"0")</f>
        <v>3</v>
      </c>
      <c r="DK7" s="256">
        <f>IFERROR(SUM($BI7:BO7)/SUM($AW7:BC7),"0")</f>
        <v>3</v>
      </c>
      <c r="DL7" s="256">
        <f>IFERROR(SUM($BI7:BP7)/SUM($AW7:BD7),"0")</f>
        <v>3</v>
      </c>
      <c r="DM7" s="256">
        <f>IFERROR(SUM($BI7:BQ7)/SUM($AW7:BE7),"0")</f>
        <v>3</v>
      </c>
      <c r="DN7" s="256">
        <f>IFERROR(SUM($BI7:BR7)/SUM($AW7:BF7),"0")</f>
        <v>3</v>
      </c>
      <c r="DO7" s="256">
        <f>IFERROR(SUM($BI7:BS7)/SUM($AW7:BG7),"0")</f>
        <v>3</v>
      </c>
      <c r="DP7" s="257">
        <f>IFERROR(SUM($BI7:BT7)/SUM($AW7:BH7),"0")</f>
        <v>1.5</v>
      </c>
    </row>
    <row r="8" spans="1:120" s="76" customFormat="1" ht="39" customHeight="1" x14ac:dyDescent="0.3">
      <c r="A8" s="198" t="s">
        <v>235</v>
      </c>
      <c r="B8" s="188" t="s">
        <v>201</v>
      </c>
      <c r="C8" s="176" t="s">
        <v>236</v>
      </c>
      <c r="D8" s="161" t="s">
        <v>176</v>
      </c>
      <c r="E8" s="161" t="s">
        <v>177</v>
      </c>
      <c r="F8" s="293" t="s">
        <v>237</v>
      </c>
      <c r="G8" s="161" t="s">
        <v>201</v>
      </c>
      <c r="H8" s="176" t="s">
        <v>238</v>
      </c>
      <c r="I8" s="164" t="s">
        <v>180</v>
      </c>
      <c r="J8" s="176" t="s">
        <v>205</v>
      </c>
      <c r="K8" s="176" t="s">
        <v>181</v>
      </c>
      <c r="L8" s="176" t="s">
        <v>182</v>
      </c>
      <c r="M8" s="176" t="s">
        <v>183</v>
      </c>
      <c r="N8" s="176" t="s">
        <v>206</v>
      </c>
      <c r="O8" s="176" t="s">
        <v>239</v>
      </c>
      <c r="P8" s="176" t="s">
        <v>207</v>
      </c>
      <c r="Q8" s="176" t="s">
        <v>208</v>
      </c>
      <c r="R8" s="176" t="s">
        <v>209</v>
      </c>
      <c r="S8" s="176" t="s">
        <v>210</v>
      </c>
      <c r="T8" s="176" t="s">
        <v>240</v>
      </c>
      <c r="U8" s="176" t="s">
        <v>241</v>
      </c>
      <c r="V8" s="176" t="s">
        <v>213</v>
      </c>
      <c r="W8" s="176" t="s">
        <v>214</v>
      </c>
      <c r="X8" s="190">
        <f t="shared" si="0"/>
        <v>15</v>
      </c>
      <c r="Y8" s="176">
        <v>0</v>
      </c>
      <c r="Z8" s="166" t="s">
        <v>215</v>
      </c>
      <c r="AA8" s="176" t="s">
        <v>216</v>
      </c>
      <c r="AB8" s="176" t="s">
        <v>217</v>
      </c>
      <c r="AC8" s="176" t="s">
        <v>218</v>
      </c>
      <c r="AD8" s="176" t="s">
        <v>219</v>
      </c>
      <c r="AE8" s="176" t="s">
        <v>220</v>
      </c>
      <c r="AF8" s="176">
        <v>0</v>
      </c>
      <c r="AG8" s="191">
        <v>15</v>
      </c>
      <c r="AH8" s="428">
        <v>25</v>
      </c>
      <c r="AI8" s="305">
        <v>100</v>
      </c>
      <c r="AJ8" s="176">
        <v>35</v>
      </c>
      <c r="AK8" s="191">
        <v>35</v>
      </c>
      <c r="AL8" s="191">
        <v>0</v>
      </c>
      <c r="AM8" s="171">
        <v>15</v>
      </c>
      <c r="AN8" s="431">
        <v>25</v>
      </c>
      <c r="AO8" s="432">
        <v>100</v>
      </c>
      <c r="AP8" s="515">
        <v>31.5</v>
      </c>
      <c r="AQ8" s="191">
        <v>0</v>
      </c>
      <c r="AR8" s="221" t="str">
        <f t="shared" si="1"/>
        <v>0</v>
      </c>
      <c r="AS8" s="221">
        <f t="shared" si="2"/>
        <v>1</v>
      </c>
      <c r="AT8" s="221">
        <f t="shared" si="3"/>
        <v>1</v>
      </c>
      <c r="AU8" s="221">
        <f t="shared" si="4"/>
        <v>0.9</v>
      </c>
      <c r="AV8" s="221">
        <f t="shared" si="5"/>
        <v>0</v>
      </c>
      <c r="AW8" s="464">
        <v>0</v>
      </c>
      <c r="AX8" s="464">
        <v>1.7500000000000002E-2</v>
      </c>
      <c r="AY8" s="461">
        <v>5.2499999999999998E-2</v>
      </c>
      <c r="AZ8" s="461">
        <v>5.2499999999999998E-2</v>
      </c>
      <c r="BA8" s="461">
        <v>5.2499999999999998E-2</v>
      </c>
      <c r="BB8" s="461">
        <v>5.2499999999999998E-2</v>
      </c>
      <c r="BC8" s="461">
        <v>5.2499999999999998E-2</v>
      </c>
      <c r="BD8" s="461">
        <v>5.2499999999999998E-2</v>
      </c>
      <c r="BE8" s="461">
        <v>7.0000000000000001E-3</v>
      </c>
      <c r="BF8" s="464">
        <v>3.5000000000000001E-3</v>
      </c>
      <c r="BG8" s="464">
        <v>3.5000000000000001E-3</v>
      </c>
      <c r="BH8" s="464">
        <v>3.5000000000000001E-3</v>
      </c>
      <c r="BI8" s="464">
        <v>0</v>
      </c>
      <c r="BJ8" s="513">
        <v>3.5000000000000003E-2</v>
      </c>
      <c r="BK8" s="464">
        <v>5.2499999999999998E-2</v>
      </c>
      <c r="BL8" s="464">
        <v>5.2499999999999998E-2</v>
      </c>
      <c r="BM8" s="464">
        <v>5.2499999999999998E-2</v>
      </c>
      <c r="BN8" s="514">
        <v>5.2499999999999998E-2</v>
      </c>
      <c r="BO8" s="514">
        <v>5.2499999999999998E-2</v>
      </c>
      <c r="BP8" s="464">
        <v>1.7500000000000002E-2</v>
      </c>
      <c r="BQ8" s="464">
        <v>0</v>
      </c>
      <c r="BR8" s="464">
        <v>0</v>
      </c>
      <c r="BS8" s="464">
        <v>0</v>
      </c>
      <c r="BT8" s="464">
        <v>0</v>
      </c>
      <c r="BU8" s="179" t="s">
        <v>1132</v>
      </c>
      <c r="BV8" s="179" t="s">
        <v>1212</v>
      </c>
      <c r="BW8" s="179" t="s">
        <v>1213</v>
      </c>
      <c r="BX8" s="174" t="s">
        <v>1331</v>
      </c>
      <c r="BY8" s="179" t="s">
        <v>1341</v>
      </c>
      <c r="BZ8" s="179" t="s">
        <v>1361</v>
      </c>
      <c r="CA8" s="179" t="s">
        <v>1422</v>
      </c>
      <c r="CB8" s="179" t="s">
        <v>1439</v>
      </c>
      <c r="CC8" s="179"/>
      <c r="CD8" s="179"/>
      <c r="CE8" s="179"/>
      <c r="CF8" s="179"/>
      <c r="CG8" s="192"/>
      <c r="CH8" s="504">
        <f t="shared" si="9"/>
        <v>3.5</v>
      </c>
      <c r="CI8" s="176" t="s">
        <v>1413</v>
      </c>
      <c r="CJ8" s="171">
        <v>0</v>
      </c>
      <c r="CK8" s="171">
        <v>7</v>
      </c>
      <c r="CL8" s="171">
        <v>8</v>
      </c>
      <c r="CM8" s="171">
        <v>11</v>
      </c>
      <c r="CN8" s="171">
        <v>12</v>
      </c>
      <c r="CO8" s="171">
        <v>15</v>
      </c>
      <c r="CP8" s="236"/>
      <c r="CQ8" s="223" t="str">
        <f t="shared" si="6"/>
        <v>ESTRATÉGICO</v>
      </c>
      <c r="CR8" s="224">
        <f t="shared" si="7"/>
        <v>0.9</v>
      </c>
      <c r="CS8" s="225">
        <f>IFERROR(SUM($BI8:BI8)/SUM($AW8:AW8),0)</f>
        <v>0</v>
      </c>
      <c r="CT8" s="225">
        <f>IFERROR(SUM($BI8:BJ8)/SUM($AW8:AX8),0)</f>
        <v>2</v>
      </c>
      <c r="CU8" s="225">
        <f>IFERROR(SUM($BI8:BK8)/SUM($AW8:AY8),0)</f>
        <v>1.2499999999999998</v>
      </c>
      <c r="CV8" s="225">
        <f>IFERROR(SUM($BI8:BL8)/SUM($AW8:AZ8),0)</f>
        <v>1.1428571428571428</v>
      </c>
      <c r="CW8" s="225">
        <f>IFERROR(SUM($BI8:BM8)/SUM($AW8:BA8),0)</f>
        <v>1.0999999999999999</v>
      </c>
      <c r="CX8" s="225">
        <f>IFERROR(SUM($BI8:BN8)/SUM($AW8:BB8),0)</f>
        <v>1.0769230769230769</v>
      </c>
      <c r="CY8" s="225">
        <f>IFERROR(SUM($BI8:BO8)/SUM($AW8:BC8),0)</f>
        <v>1.0625</v>
      </c>
      <c r="CZ8" s="225">
        <f>IFERROR(SUM($BI8:BP8)/SUM($AW8:BD8),0)</f>
        <v>0.94736842105263175</v>
      </c>
      <c r="DA8" s="225">
        <f>IFERROR(SUM($BI8:BQ8)/SUM($AW8:BE8),0)</f>
        <v>0.9278350515463919</v>
      </c>
      <c r="DB8" s="225">
        <f>IFERROR(SUM($BI8:BR8)/SUM($AW8:BF8),0)</f>
        <v>0.91836734693877564</v>
      </c>
      <c r="DC8" s="225">
        <f>IFERROR(SUM($BI8:BS8)/SUM($AW8:BG8),0)</f>
        <v>0.90909090909090917</v>
      </c>
      <c r="DD8" s="225">
        <f>IFERROR(SUM($BI8:BT8)/SUM($AW8:BH8),0)</f>
        <v>0.9</v>
      </c>
      <c r="DE8" s="250" t="str">
        <f t="shared" si="8"/>
        <v>0</v>
      </c>
      <c r="DF8" s="251">
        <f>IFERROR(SUM($BI8:BJ8)/SUM($AW8:AX8),"0")</f>
        <v>2</v>
      </c>
      <c r="DG8" s="252">
        <f>IFERROR(SUM($BI8:BK8)/SUM($AW8:AY8),"0")</f>
        <v>1.2499999999999998</v>
      </c>
      <c r="DH8" s="252">
        <f>IFERROR(SUM($BI8:BL8)/SUM($AW8:AZ8),"0")</f>
        <v>1.1428571428571428</v>
      </c>
      <c r="DI8" s="252">
        <f>IFERROR(SUM($BI8:BM8)/SUM($AW8:BA8),"0")</f>
        <v>1.0999999999999999</v>
      </c>
      <c r="DJ8" s="252">
        <f>IFERROR(SUM($BI8:BN8)/SUM($AW8:BB8),"0")</f>
        <v>1.0769230769230769</v>
      </c>
      <c r="DK8" s="252">
        <f>IFERROR(SUM($BI8:BO8)/SUM($AW8:BC8),"0")</f>
        <v>1.0625</v>
      </c>
      <c r="DL8" s="252">
        <f>IFERROR(SUM($BI8:BP8)/SUM($AW8:BD8),"0")</f>
        <v>0.94736842105263175</v>
      </c>
      <c r="DM8" s="252">
        <f>IFERROR(SUM($BI8:BQ8)/SUM($AW8:BE8),"0")</f>
        <v>0.9278350515463919</v>
      </c>
      <c r="DN8" s="252">
        <f>IFERROR(SUM($BI8:BR8)/SUM($AW8:BF8),"0")</f>
        <v>0.91836734693877564</v>
      </c>
      <c r="DO8" s="252">
        <f>IFERROR(SUM($BI8:BS8)/SUM($AW8:BG8),"0")</f>
        <v>0.90909090909090917</v>
      </c>
      <c r="DP8" s="253">
        <f>IFERROR(SUM($BI8:BT8)/SUM($AW8:BH8),"0")</f>
        <v>0.9</v>
      </c>
    </row>
    <row r="9" spans="1:120" s="76" customFormat="1" ht="53.45" customHeight="1" x14ac:dyDescent="0.3">
      <c r="A9" s="228" t="s">
        <v>242</v>
      </c>
      <c r="B9" s="188" t="s">
        <v>201</v>
      </c>
      <c r="C9" s="176" t="s">
        <v>243</v>
      </c>
      <c r="D9" s="161" t="s">
        <v>176</v>
      </c>
      <c r="E9" s="161" t="s">
        <v>177</v>
      </c>
      <c r="F9" s="293" t="s">
        <v>244</v>
      </c>
      <c r="G9" s="161" t="s">
        <v>201</v>
      </c>
      <c r="H9" s="176" t="s">
        <v>245</v>
      </c>
      <c r="I9" s="164" t="s">
        <v>180</v>
      </c>
      <c r="J9" s="176" t="s">
        <v>205</v>
      </c>
      <c r="K9" s="176" t="s">
        <v>181</v>
      </c>
      <c r="L9" s="176" t="s">
        <v>182</v>
      </c>
      <c r="M9" s="176" t="s">
        <v>183</v>
      </c>
      <c r="N9" s="176" t="s">
        <v>206</v>
      </c>
      <c r="O9" s="176"/>
      <c r="P9" s="176" t="s">
        <v>207</v>
      </c>
      <c r="Q9" s="176" t="s">
        <v>208</v>
      </c>
      <c r="R9" s="176" t="s">
        <v>209</v>
      </c>
      <c r="S9" s="176" t="s">
        <v>210</v>
      </c>
      <c r="T9" s="176" t="s">
        <v>246</v>
      </c>
      <c r="U9" s="176" t="s">
        <v>247</v>
      </c>
      <c r="V9" s="176" t="s">
        <v>213</v>
      </c>
      <c r="W9" s="176" t="s">
        <v>214</v>
      </c>
      <c r="X9" s="190">
        <f t="shared" si="0"/>
        <v>25</v>
      </c>
      <c r="Y9" s="176">
        <v>0</v>
      </c>
      <c r="Z9" s="166" t="s">
        <v>215</v>
      </c>
      <c r="AA9" s="176" t="s">
        <v>216</v>
      </c>
      <c r="AB9" s="176" t="s">
        <v>217</v>
      </c>
      <c r="AC9" s="176" t="s">
        <v>218</v>
      </c>
      <c r="AD9" s="176" t="s">
        <v>219</v>
      </c>
      <c r="AE9" s="176" t="s">
        <v>248</v>
      </c>
      <c r="AF9" s="176">
        <v>0</v>
      </c>
      <c r="AG9" s="191">
        <v>25</v>
      </c>
      <c r="AH9" s="428">
        <v>25</v>
      </c>
      <c r="AI9" s="305">
        <v>100</v>
      </c>
      <c r="AJ9" s="176">
        <v>25</v>
      </c>
      <c r="AK9" s="191">
        <v>25</v>
      </c>
      <c r="AL9" s="176">
        <v>0</v>
      </c>
      <c r="AM9" s="171">
        <v>25</v>
      </c>
      <c r="AN9" s="431">
        <v>25</v>
      </c>
      <c r="AO9" s="432">
        <v>100</v>
      </c>
      <c r="AP9" s="511">
        <v>5.25</v>
      </c>
      <c r="AQ9" s="191">
        <v>0</v>
      </c>
      <c r="AR9" s="221" t="str">
        <f t="shared" si="1"/>
        <v>0</v>
      </c>
      <c r="AS9" s="221">
        <f t="shared" si="2"/>
        <v>1</v>
      </c>
      <c r="AT9" s="221">
        <f t="shared" si="3"/>
        <v>1</v>
      </c>
      <c r="AU9" s="221">
        <f t="shared" si="4"/>
        <v>0.21</v>
      </c>
      <c r="AV9" s="221">
        <f t="shared" si="5"/>
        <v>0</v>
      </c>
      <c r="AW9" s="463">
        <v>0</v>
      </c>
      <c r="AX9" s="463">
        <v>0</v>
      </c>
      <c r="AY9" s="461">
        <v>1.4999999999999999E-2</v>
      </c>
      <c r="AZ9" s="461">
        <v>1.4999999999999999E-2</v>
      </c>
      <c r="BA9" s="461">
        <v>1.4999999999999999E-2</v>
      </c>
      <c r="BB9" s="461">
        <v>1.4999999999999999E-2</v>
      </c>
      <c r="BC9" s="509">
        <v>0</v>
      </c>
      <c r="BD9" s="509">
        <v>0</v>
      </c>
      <c r="BE9" s="509">
        <v>0.03</v>
      </c>
      <c r="BF9" s="461">
        <v>0.1</v>
      </c>
      <c r="BG9" s="461">
        <v>4.4999999999999998E-2</v>
      </c>
      <c r="BH9" s="509">
        <v>1.4999999999999999E-2</v>
      </c>
      <c r="BI9" s="461">
        <v>0</v>
      </c>
      <c r="BJ9" s="461">
        <v>0</v>
      </c>
      <c r="BK9" s="461">
        <v>1.4999999999999999E-2</v>
      </c>
      <c r="BL9" s="461">
        <v>1.4999999999999999E-2</v>
      </c>
      <c r="BM9" s="461">
        <v>0</v>
      </c>
      <c r="BN9" s="480">
        <v>1.4999999999999999E-2</v>
      </c>
      <c r="BO9" s="461">
        <v>0</v>
      </c>
      <c r="BP9" s="461">
        <v>7.4999999999999997E-3</v>
      </c>
      <c r="BQ9" s="461">
        <v>0</v>
      </c>
      <c r="BR9" s="461">
        <v>0</v>
      </c>
      <c r="BS9" s="461">
        <v>0</v>
      </c>
      <c r="BT9" s="461">
        <v>0</v>
      </c>
      <c r="BU9" s="179" t="s">
        <v>1314</v>
      </c>
      <c r="BV9" s="179" t="s">
        <v>1315</v>
      </c>
      <c r="BW9" s="179" t="s">
        <v>1200</v>
      </c>
      <c r="BX9" s="174" t="s">
        <v>1320</v>
      </c>
      <c r="BY9" s="179" t="s">
        <v>1342</v>
      </c>
      <c r="BZ9" s="179" t="s">
        <v>1362</v>
      </c>
      <c r="CA9" s="179" t="s">
        <v>1423</v>
      </c>
      <c r="CB9" s="179" t="s">
        <v>1440</v>
      </c>
      <c r="CC9" s="179"/>
      <c r="CD9" s="179"/>
      <c r="CE9" s="179"/>
      <c r="CF9" s="179"/>
      <c r="CG9" s="192"/>
      <c r="CH9" s="504">
        <f t="shared" si="9"/>
        <v>19.75</v>
      </c>
      <c r="CI9" s="176" t="s">
        <v>1413</v>
      </c>
      <c r="CJ9" s="237">
        <v>0</v>
      </c>
      <c r="CK9" s="237">
        <v>10</v>
      </c>
      <c r="CL9" s="237">
        <v>11</v>
      </c>
      <c r="CM9" s="237">
        <v>20</v>
      </c>
      <c r="CN9" s="237">
        <v>21</v>
      </c>
      <c r="CO9" s="237">
        <v>25</v>
      </c>
      <c r="CP9" s="227"/>
      <c r="CQ9" s="223" t="str">
        <f t="shared" si="6"/>
        <v>ESTRATÉGICO</v>
      </c>
      <c r="CR9" s="224">
        <f t="shared" si="7"/>
        <v>0.21</v>
      </c>
      <c r="CS9" s="225">
        <f>IFERROR(SUM($BI9:BI9)/SUM($AW9:AW9),0)</f>
        <v>0</v>
      </c>
      <c r="CT9" s="225">
        <f>IFERROR(SUM($BI9:BJ9)/SUM($AW9:AX9),0)</f>
        <v>0</v>
      </c>
      <c r="CU9" s="225">
        <f>IFERROR(SUM($BI9:BK9)/SUM($AW9:AY9),0)</f>
        <v>1</v>
      </c>
      <c r="CV9" s="225">
        <f>IFERROR(SUM($BI9:BL9)/SUM($AW9:AZ9),0)</f>
        <v>1</v>
      </c>
      <c r="CW9" s="225">
        <f>IFERROR(SUM($BI9:BM9)/SUM($AW9:BA9),0)</f>
        <v>0.66666666666666663</v>
      </c>
      <c r="CX9" s="225">
        <f>IFERROR(SUM($BI9:BN9)/SUM($AW9:BB9),0)</f>
        <v>0.75</v>
      </c>
      <c r="CY9" s="225">
        <f>IFERROR(SUM($BI9:BO9)/SUM($AW9:BC9),0)</f>
        <v>0.75</v>
      </c>
      <c r="CZ9" s="225">
        <f>IFERROR(SUM($BI9:BP9)/SUM($AW9:BD9),0)</f>
        <v>0.875</v>
      </c>
      <c r="DA9" s="225">
        <f>IFERROR(SUM($BI9:BQ9)/SUM($AW9:BE9),0)</f>
        <v>0.58333333333333337</v>
      </c>
      <c r="DB9" s="225">
        <f>IFERROR(SUM($BI9:BR9)/SUM($AW9:BF9),0)</f>
        <v>0.27631578947368418</v>
      </c>
      <c r="DC9" s="225">
        <f>IFERROR(SUM($BI9:BS9)/SUM($AW9:BG9),0)</f>
        <v>0.22340425531914895</v>
      </c>
      <c r="DD9" s="225">
        <f>IFERROR(SUM($BI9:BT9)/SUM($AW9:BH9),0)</f>
        <v>0.21</v>
      </c>
      <c r="DE9" s="250" t="str">
        <f t="shared" si="8"/>
        <v>0</v>
      </c>
      <c r="DF9" s="251" t="str">
        <f>IFERROR(SUM($BI9:BJ9)/SUM($AW9:AX9),"0")</f>
        <v>0</v>
      </c>
      <c r="DG9" s="252">
        <f>IFERROR(SUM($BI9:BK9)/SUM($AW9:AY9),"0")</f>
        <v>1</v>
      </c>
      <c r="DH9" s="252">
        <f>IFERROR(SUM($BI9:BL9)/SUM($AW9:AZ9),"0")</f>
        <v>1</v>
      </c>
      <c r="DI9" s="252">
        <f>IFERROR(SUM($BI9:BM9)/SUM($AW9:BA9),"0")</f>
        <v>0.66666666666666663</v>
      </c>
      <c r="DJ9" s="252">
        <f>IFERROR(SUM($BI9:BN9)/SUM($AW9:BB9),"0")</f>
        <v>0.75</v>
      </c>
      <c r="DK9" s="252">
        <f>IFERROR(SUM($BI9:BO9)/SUM($AW9:BC9),"0")</f>
        <v>0.75</v>
      </c>
      <c r="DL9" s="252">
        <f>IFERROR(SUM($BI9:BP9)/SUM($AW9:BD9),"0")</f>
        <v>0.875</v>
      </c>
      <c r="DM9" s="252">
        <f>IFERROR(SUM($BI9:BQ9)/SUM($AW9:BE9),"0")</f>
        <v>0.58333333333333337</v>
      </c>
      <c r="DN9" s="252">
        <f>IFERROR(SUM($BI9:BR9)/SUM($AW9:BF9),"0")</f>
        <v>0.27631578947368418</v>
      </c>
      <c r="DO9" s="252">
        <f>IFERROR(SUM($BI9:BS9)/SUM($AW9:BG9),"0")</f>
        <v>0.22340425531914895</v>
      </c>
      <c r="DP9" s="253">
        <f>IFERROR(SUM($BI9:BT9)/SUM($AW9:BH9),"0")</f>
        <v>0.21</v>
      </c>
    </row>
    <row r="10" spans="1:120" s="226" customFormat="1" ht="39" customHeight="1" x14ac:dyDescent="0.3">
      <c r="A10" s="228" t="s">
        <v>249</v>
      </c>
      <c r="B10" s="188" t="s">
        <v>250</v>
      </c>
      <c r="C10" s="176">
        <v>533</v>
      </c>
      <c r="D10" s="161" t="s">
        <v>176</v>
      </c>
      <c r="E10" s="161" t="s">
        <v>177</v>
      </c>
      <c r="F10" s="303" t="s">
        <v>251</v>
      </c>
      <c r="G10" s="161" t="s">
        <v>250</v>
      </c>
      <c r="H10" s="176" t="s">
        <v>252</v>
      </c>
      <c r="I10" s="166" t="s">
        <v>253</v>
      </c>
      <c r="J10" s="176" t="s">
        <v>47</v>
      </c>
      <c r="K10" s="161" t="s">
        <v>181</v>
      </c>
      <c r="L10" s="176" t="s">
        <v>182</v>
      </c>
      <c r="M10" s="176" t="s">
        <v>183</v>
      </c>
      <c r="N10" s="176" t="s">
        <v>206</v>
      </c>
      <c r="O10" s="176"/>
      <c r="P10" s="176" t="s">
        <v>254</v>
      </c>
      <c r="Q10" s="176" t="s">
        <v>255</v>
      </c>
      <c r="R10" s="176" t="s">
        <v>1214</v>
      </c>
      <c r="S10" s="176" t="s">
        <v>256</v>
      </c>
      <c r="T10" s="176" t="s">
        <v>257</v>
      </c>
      <c r="U10" s="176" t="s">
        <v>1215</v>
      </c>
      <c r="V10" s="176" t="s">
        <v>258</v>
      </c>
      <c r="W10" s="176" t="s">
        <v>258</v>
      </c>
      <c r="X10" s="190">
        <f t="shared" si="0"/>
        <v>88.32</v>
      </c>
      <c r="Y10" s="176" t="s">
        <v>259</v>
      </c>
      <c r="Z10" s="166" t="s">
        <v>193</v>
      </c>
      <c r="AA10" s="176" t="s">
        <v>216</v>
      </c>
      <c r="AB10" s="176" t="s">
        <v>260</v>
      </c>
      <c r="AC10" s="176" t="s">
        <v>261</v>
      </c>
      <c r="AD10" s="176" t="s">
        <v>261</v>
      </c>
      <c r="AE10" s="164" t="s">
        <v>262</v>
      </c>
      <c r="AF10" s="176">
        <v>83</v>
      </c>
      <c r="AG10" s="176">
        <v>83</v>
      </c>
      <c r="AH10" s="429">
        <v>83</v>
      </c>
      <c r="AI10" s="305">
        <v>100</v>
      </c>
      <c r="AJ10" s="176">
        <v>83</v>
      </c>
      <c r="AK10" s="176">
        <v>83</v>
      </c>
      <c r="AL10" s="191">
        <v>87.37</v>
      </c>
      <c r="AM10" s="171">
        <v>88.32</v>
      </c>
      <c r="AN10" s="431">
        <v>88.84</v>
      </c>
      <c r="AO10" s="432">
        <v>100</v>
      </c>
      <c r="AP10" s="511">
        <v>87.7</v>
      </c>
      <c r="AQ10" s="191">
        <v>0</v>
      </c>
      <c r="AR10" s="221">
        <f t="shared" si="1"/>
        <v>1.0526506024096387</v>
      </c>
      <c r="AS10" s="221">
        <f t="shared" si="2"/>
        <v>1.0640963855421686</v>
      </c>
      <c r="AT10" s="221">
        <f t="shared" si="3"/>
        <v>1</v>
      </c>
      <c r="AU10" s="221">
        <f t="shared" si="4"/>
        <v>1.0566265060240965</v>
      </c>
      <c r="AV10" s="221">
        <f t="shared" si="5"/>
        <v>0</v>
      </c>
      <c r="AW10" s="463">
        <v>0.83</v>
      </c>
      <c r="AX10" s="463">
        <v>0.83</v>
      </c>
      <c r="AY10" s="463">
        <v>0.83</v>
      </c>
      <c r="AZ10" s="463">
        <v>0.83</v>
      </c>
      <c r="BA10" s="463">
        <v>0.83</v>
      </c>
      <c r="BB10" s="463">
        <v>0.83</v>
      </c>
      <c r="BC10" s="463">
        <v>0.83</v>
      </c>
      <c r="BD10" s="463">
        <v>0.83</v>
      </c>
      <c r="BE10" s="463">
        <v>0.83</v>
      </c>
      <c r="BF10" s="463">
        <v>0.83</v>
      </c>
      <c r="BG10" s="463">
        <v>0.83</v>
      </c>
      <c r="BH10" s="463">
        <v>0.83</v>
      </c>
      <c r="BI10" s="461">
        <v>0.88900000000000001</v>
      </c>
      <c r="BJ10" s="461">
        <v>0.88329999999999997</v>
      </c>
      <c r="BK10" s="461">
        <v>0.8821</v>
      </c>
      <c r="BL10" s="461">
        <v>0.88190000000000002</v>
      </c>
      <c r="BM10" s="461">
        <v>0.88149999999999995</v>
      </c>
      <c r="BN10" s="480">
        <v>0.87949999999999995</v>
      </c>
      <c r="BO10" s="509">
        <v>0.87749999999999995</v>
      </c>
      <c r="BP10" s="461">
        <v>0.877</v>
      </c>
      <c r="BQ10" s="461">
        <v>0</v>
      </c>
      <c r="BR10" s="461">
        <v>0</v>
      </c>
      <c r="BS10" s="461">
        <v>0</v>
      </c>
      <c r="BT10" s="461">
        <v>0</v>
      </c>
      <c r="BU10" s="494" t="s">
        <v>1216</v>
      </c>
      <c r="BV10" s="179" t="s">
        <v>1217</v>
      </c>
      <c r="BW10" s="179" t="s">
        <v>1218</v>
      </c>
      <c r="BX10" s="174" t="s">
        <v>1332</v>
      </c>
      <c r="BY10" s="179" t="s">
        <v>1343</v>
      </c>
      <c r="BZ10" s="179" t="s">
        <v>1363</v>
      </c>
      <c r="CA10" s="179" t="s">
        <v>1424</v>
      </c>
      <c r="CB10" s="179" t="s">
        <v>1441</v>
      </c>
      <c r="CC10" s="179"/>
      <c r="CD10" s="179"/>
      <c r="CE10" s="179"/>
      <c r="CF10" s="179"/>
      <c r="CG10" s="192"/>
      <c r="CH10" s="504">
        <f t="shared" si="9"/>
        <v>-4.7000000000000028</v>
      </c>
      <c r="CI10" s="176" t="s">
        <v>1413</v>
      </c>
      <c r="CJ10" s="176">
        <v>0</v>
      </c>
      <c r="CK10" s="176">
        <v>82.9</v>
      </c>
      <c r="CL10" s="176">
        <v>83</v>
      </c>
      <c r="CM10" s="176">
        <v>83.5</v>
      </c>
      <c r="CN10" s="176">
        <v>83.6</v>
      </c>
      <c r="CO10" s="176">
        <v>100</v>
      </c>
      <c r="CP10" s="198"/>
      <c r="CQ10" s="223" t="str">
        <f t="shared" si="6"/>
        <v>ESTRATÉGICO</v>
      </c>
      <c r="CR10" s="224">
        <f t="shared" si="7"/>
        <v>0.70801204819277108</v>
      </c>
      <c r="CS10" s="225">
        <f>IFERROR(SUM($BI10:BI10)/SUM($AW10:AW10),0)</f>
        <v>1.0710843373493977</v>
      </c>
      <c r="CT10" s="225">
        <f>IFERROR(SUM($BI10:BJ10)/SUM($AW10:AX10),0)</f>
        <v>1.0676506024096386</v>
      </c>
      <c r="CU10" s="225">
        <f>IFERROR(SUM($BI10:BK10)/SUM($AW10:AY10),0)</f>
        <v>1.0660240963855423</v>
      </c>
      <c r="CV10" s="225">
        <f>IFERROR(SUM($BI10:BL10)/SUM($AW10:AZ10),0)</f>
        <v>1.0651506024096384</v>
      </c>
      <c r="CW10" s="225">
        <f>IFERROR(SUM($BI10:BM10)/SUM($AW10:BA10),0)</f>
        <v>1.0645301204819277</v>
      </c>
      <c r="CX10" s="225">
        <f>IFERROR(SUM($BI10:BN10)/SUM($AW10:BB10),0)</f>
        <v>1.063714859437751</v>
      </c>
      <c r="CY10" s="225">
        <f>IFERROR(SUM($BI10:BO10)/SUM($AW10:BC10),0)</f>
        <v>1.062788296041308</v>
      </c>
      <c r="CZ10" s="225">
        <f>IFERROR(SUM($BI10:BP10)/SUM($AW10:BD10),0)</f>
        <v>1.0620180722891566</v>
      </c>
      <c r="DA10" s="225">
        <f>IFERROR(SUM($BI10:BQ10)/SUM($AW10:BE10),0)</f>
        <v>0.944016064257028</v>
      </c>
      <c r="DB10" s="225">
        <f>IFERROR(SUM($BI10:BR10)/SUM($AW10:BF10),0)</f>
        <v>0.84961445783132528</v>
      </c>
      <c r="DC10" s="225">
        <f>IFERROR(SUM($BI10:BS10)/SUM($AW10:BG10),0)</f>
        <v>0.77237677984665931</v>
      </c>
      <c r="DD10" s="225">
        <f>IFERROR(SUM($BI10:BT10)/SUM($AW10:BH10),0)</f>
        <v>0.70801204819277108</v>
      </c>
      <c r="DE10" s="250">
        <f t="shared" si="8"/>
        <v>1.0710843373493977</v>
      </c>
      <c r="DF10" s="251">
        <f>IFERROR(SUM($BI10:BJ10)/SUM($AW10:AX10),"0")</f>
        <v>1.0676506024096386</v>
      </c>
      <c r="DG10" s="252">
        <f>IFERROR(SUM($BI10:BK10)/SUM($AW10:AY10),"0")</f>
        <v>1.0660240963855423</v>
      </c>
      <c r="DH10" s="252">
        <f>IFERROR(SUM($BI10:BL10)/SUM($AW10:AZ10),"0")</f>
        <v>1.0651506024096384</v>
      </c>
      <c r="DI10" s="252">
        <f>IFERROR(SUM($BI10:BM10)/SUM($AW10:BA10),"0")</f>
        <v>1.0645301204819277</v>
      </c>
      <c r="DJ10" s="252">
        <f>IFERROR(SUM($BI10:BN10)/SUM($AW10:BB10),"0")</f>
        <v>1.063714859437751</v>
      </c>
      <c r="DK10" s="252">
        <f>IFERROR(SUM($BI10:BO10)/SUM($AW10:BC10),"0")</f>
        <v>1.062788296041308</v>
      </c>
      <c r="DL10" s="252">
        <f>IFERROR(SUM($BI10:BP10)/SUM($AW10:BD10),"0")</f>
        <v>1.0620180722891566</v>
      </c>
      <c r="DM10" s="252">
        <f>IFERROR(SUM($BI10:BQ10)/SUM($AW10:BE10),"0")</f>
        <v>0.944016064257028</v>
      </c>
      <c r="DN10" s="252">
        <f>IFERROR(SUM($BI10:BR10)/SUM($AW10:BF10),"0")</f>
        <v>0.84961445783132528</v>
      </c>
      <c r="DO10" s="252">
        <f>IFERROR(SUM($BI10:BS10)/SUM($AW10:BG10),"0")</f>
        <v>0.77237677984665931</v>
      </c>
      <c r="DP10" s="253">
        <f>IFERROR(SUM($BI10:BT10)/SUM($AW10:BH10),"0")</f>
        <v>0.70801204819277108</v>
      </c>
    </row>
    <row r="11" spans="1:120" s="76" customFormat="1" ht="52.35" customHeight="1" x14ac:dyDescent="0.3">
      <c r="A11" s="228" t="s">
        <v>263</v>
      </c>
      <c r="B11" s="188" t="s">
        <v>264</v>
      </c>
      <c r="C11" s="176" t="s">
        <v>265</v>
      </c>
      <c r="D11" s="161" t="s">
        <v>176</v>
      </c>
      <c r="E11" s="161" t="s">
        <v>177</v>
      </c>
      <c r="F11" s="292" t="s">
        <v>266</v>
      </c>
      <c r="G11" s="161" t="s">
        <v>264</v>
      </c>
      <c r="H11" s="164" t="s">
        <v>267</v>
      </c>
      <c r="I11" s="183" t="s">
        <v>180</v>
      </c>
      <c r="J11" s="176" t="s">
        <v>268</v>
      </c>
      <c r="K11" s="161" t="s">
        <v>181</v>
      </c>
      <c r="L11" s="164" t="s">
        <v>182</v>
      </c>
      <c r="M11" s="164" t="s">
        <v>183</v>
      </c>
      <c r="N11" s="164" t="s">
        <v>206</v>
      </c>
      <c r="O11" s="164"/>
      <c r="P11" s="164" t="s">
        <v>269</v>
      </c>
      <c r="Q11" s="164" t="s">
        <v>270</v>
      </c>
      <c r="R11" s="164" t="s">
        <v>271</v>
      </c>
      <c r="S11" s="164" t="s">
        <v>233</v>
      </c>
      <c r="T11" s="164" t="s">
        <v>272</v>
      </c>
      <c r="U11" s="164" t="s">
        <v>233</v>
      </c>
      <c r="V11" s="164" t="s">
        <v>273</v>
      </c>
      <c r="W11" s="164" t="s">
        <v>233</v>
      </c>
      <c r="X11" s="190">
        <f t="shared" si="0"/>
        <v>2432</v>
      </c>
      <c r="Y11" s="164" t="s">
        <v>274</v>
      </c>
      <c r="Z11" s="166" t="s">
        <v>215</v>
      </c>
      <c r="AA11" s="164" t="s">
        <v>216</v>
      </c>
      <c r="AB11" s="176" t="s">
        <v>217</v>
      </c>
      <c r="AC11" s="164" t="s">
        <v>275</v>
      </c>
      <c r="AD11" s="164" t="s">
        <v>276</v>
      </c>
      <c r="AE11" s="164" t="s">
        <v>277</v>
      </c>
      <c r="AF11" s="164">
        <v>800</v>
      </c>
      <c r="AG11" s="187">
        <v>2400</v>
      </c>
      <c r="AH11" s="430">
        <v>2400</v>
      </c>
      <c r="AI11" s="305">
        <v>100</v>
      </c>
      <c r="AJ11" s="187">
        <v>2982</v>
      </c>
      <c r="AK11" s="187">
        <v>1000</v>
      </c>
      <c r="AL11" s="187">
        <v>1183</v>
      </c>
      <c r="AM11" s="171">
        <v>2432</v>
      </c>
      <c r="AN11" s="428">
        <v>2403</v>
      </c>
      <c r="AO11" s="432">
        <v>100</v>
      </c>
      <c r="AP11" s="512">
        <v>1960</v>
      </c>
      <c r="AQ11" s="191">
        <v>0</v>
      </c>
      <c r="AR11" s="221">
        <f t="shared" si="1"/>
        <v>1.47875</v>
      </c>
      <c r="AS11" s="221">
        <f t="shared" si="2"/>
        <v>1.0133333333333334</v>
      </c>
      <c r="AT11" s="221">
        <f t="shared" si="3"/>
        <v>1</v>
      </c>
      <c r="AU11" s="221">
        <f t="shared" si="4"/>
        <v>0.65727699530516437</v>
      </c>
      <c r="AV11" s="221">
        <f t="shared" si="5"/>
        <v>0</v>
      </c>
      <c r="AW11" s="466">
        <v>0</v>
      </c>
      <c r="AX11" s="466">
        <v>180</v>
      </c>
      <c r="AY11" s="466">
        <v>250</v>
      </c>
      <c r="AZ11" s="466">
        <v>250</v>
      </c>
      <c r="BA11" s="476">
        <v>320</v>
      </c>
      <c r="BB11" s="476">
        <v>320</v>
      </c>
      <c r="BC11" s="476">
        <v>320</v>
      </c>
      <c r="BD11" s="476">
        <v>320</v>
      </c>
      <c r="BE11" s="476">
        <v>320</v>
      </c>
      <c r="BF11" s="476">
        <v>320</v>
      </c>
      <c r="BG11" s="476">
        <v>262</v>
      </c>
      <c r="BH11" s="476">
        <v>120</v>
      </c>
      <c r="BI11" s="466">
        <v>0</v>
      </c>
      <c r="BJ11" s="466">
        <v>180</v>
      </c>
      <c r="BK11" s="466">
        <v>250</v>
      </c>
      <c r="BL11" s="466">
        <v>250</v>
      </c>
      <c r="BM11" s="466">
        <v>320</v>
      </c>
      <c r="BN11" s="476">
        <v>320</v>
      </c>
      <c r="BO11" s="516">
        <v>320</v>
      </c>
      <c r="BP11" s="466">
        <v>320</v>
      </c>
      <c r="BQ11" s="466">
        <v>0</v>
      </c>
      <c r="BR11" s="466">
        <v>0</v>
      </c>
      <c r="BS11" s="466">
        <v>0</v>
      </c>
      <c r="BT11" s="466">
        <v>0</v>
      </c>
      <c r="BU11" s="179" t="s">
        <v>1135</v>
      </c>
      <c r="BV11" s="179" t="s">
        <v>1181</v>
      </c>
      <c r="BW11" s="179" t="s">
        <v>1201</v>
      </c>
      <c r="BX11" s="174" t="s">
        <v>1321</v>
      </c>
      <c r="BY11" s="179" t="s">
        <v>1344</v>
      </c>
      <c r="BZ11" s="179" t="s">
        <v>1364</v>
      </c>
      <c r="CA11" s="179" t="s">
        <v>1425</v>
      </c>
      <c r="CB11" s="179" t="s">
        <v>1442</v>
      </c>
      <c r="CC11" s="179"/>
      <c r="CD11" s="179"/>
      <c r="CE11" s="179"/>
      <c r="CF11" s="179"/>
      <c r="CG11" s="184"/>
      <c r="CH11" s="504">
        <f t="shared" si="9"/>
        <v>1022</v>
      </c>
      <c r="CI11" s="176" t="s">
        <v>1413</v>
      </c>
      <c r="CJ11" s="222"/>
      <c r="CK11" s="222"/>
      <c r="CL11" s="222"/>
      <c r="CM11" s="222"/>
      <c r="CN11" s="222"/>
      <c r="CO11" s="222"/>
      <c r="CP11" s="235"/>
      <c r="CQ11" s="223" t="str">
        <f t="shared" si="6"/>
        <v>ESTRATÉGICO</v>
      </c>
      <c r="CR11" s="224">
        <f t="shared" si="7"/>
        <v>0.65727699530516437</v>
      </c>
      <c r="CS11" s="225">
        <f>IFERROR(SUM($BI11:BI11)/SUM($AW11:AW11),0)</f>
        <v>0</v>
      </c>
      <c r="CT11" s="225">
        <f>IFERROR(SUM($BI11:BJ11)/SUM($AW11:AX11),0)</f>
        <v>1</v>
      </c>
      <c r="CU11" s="225">
        <f>IFERROR(SUM($BI11:BK11)/SUM($AW11:AY11),0)</f>
        <v>1</v>
      </c>
      <c r="CV11" s="225">
        <f>IFERROR(SUM($BI11:BL11)/SUM($AW11:AZ11),0)</f>
        <v>1</v>
      </c>
      <c r="CW11" s="225">
        <f>IFERROR(SUM($BI11:BM11)/SUM($AW11:BA11),0)</f>
        <v>1</v>
      </c>
      <c r="CX11" s="225">
        <f>IFERROR(SUM($BI11:BN11)/SUM($AW11:BB11),0)</f>
        <v>1</v>
      </c>
      <c r="CY11" s="225">
        <f>IFERROR(SUM($BI11:BO11)/SUM($AW11:BC11),0)</f>
        <v>1</v>
      </c>
      <c r="CZ11" s="225">
        <f>IFERROR(SUM($BI11:BP11)/SUM($AW11:BD11),0)</f>
        <v>1</v>
      </c>
      <c r="DA11" s="225">
        <f>IFERROR(SUM($BI11:BQ11)/SUM($AW11:BE11),0)</f>
        <v>0.85964912280701755</v>
      </c>
      <c r="DB11" s="225">
        <f>IFERROR(SUM($BI11:BR11)/SUM($AW11:BF11),0)</f>
        <v>0.75384615384615383</v>
      </c>
      <c r="DC11" s="225">
        <f>IFERROR(SUM($BI11:BS11)/SUM($AW11:BG11),0)</f>
        <v>0.68483577917540184</v>
      </c>
      <c r="DD11" s="225">
        <f>IFERROR(SUM($BI11:BT11)/SUM($AW11:BH11),0)</f>
        <v>0.65727699530516437</v>
      </c>
      <c r="DE11" s="254" t="str">
        <f t="shared" si="8"/>
        <v>0</v>
      </c>
      <c r="DF11" s="255">
        <f>IFERROR(SUM($BI11:BJ11)/SUM($AW11:AX11),"0")</f>
        <v>1</v>
      </c>
      <c r="DG11" s="256">
        <f>IFERROR(SUM($BI11:BK11)/SUM($AW11:AY11),"0")</f>
        <v>1</v>
      </c>
      <c r="DH11" s="256">
        <f>IFERROR(SUM($BI11:BL11)/SUM($AW11:AZ11),"0")</f>
        <v>1</v>
      </c>
      <c r="DI11" s="256">
        <f>IFERROR(SUM($BI11:BM11)/SUM($AW11:BA11),"0")</f>
        <v>1</v>
      </c>
      <c r="DJ11" s="256">
        <f>IFERROR(SUM($BI11:BN11)/SUM($AW11:BB11),"0")</f>
        <v>1</v>
      </c>
      <c r="DK11" s="256">
        <f>IFERROR(SUM($BI11:BO11)/SUM($AW11:BC11),"0")</f>
        <v>1</v>
      </c>
      <c r="DL11" s="256">
        <f>IFERROR(SUM($BI11:BP11)/SUM($AW11:BD11),"0")</f>
        <v>1</v>
      </c>
      <c r="DM11" s="256">
        <f>IFERROR(SUM($BI11:BQ11)/SUM($AW11:BE11),"0")</f>
        <v>0.85964912280701755</v>
      </c>
      <c r="DN11" s="256">
        <f>IFERROR(SUM($BI11:BR11)/SUM($AW11:BF11),"0")</f>
        <v>0.75384615384615383</v>
      </c>
      <c r="DO11" s="256">
        <f>IFERROR(SUM($BI11:BS11)/SUM($AW11:BG11),"0")</f>
        <v>0.68483577917540184</v>
      </c>
      <c r="DP11" s="257">
        <f>IFERROR(SUM($BI11:BT11)/SUM($AW11:BH11),"0")</f>
        <v>0.65727699530516437</v>
      </c>
    </row>
    <row r="12" spans="1:120" s="226" customFormat="1" ht="88.35" customHeight="1" x14ac:dyDescent="0.25">
      <c r="A12" s="198" t="s">
        <v>278</v>
      </c>
      <c r="B12" s="188" t="s">
        <v>264</v>
      </c>
      <c r="C12" s="176" t="s">
        <v>279</v>
      </c>
      <c r="D12" s="161" t="s">
        <v>176</v>
      </c>
      <c r="E12" s="161" t="s">
        <v>177</v>
      </c>
      <c r="F12" s="293" t="s">
        <v>280</v>
      </c>
      <c r="G12" s="161" t="s">
        <v>264</v>
      </c>
      <c r="H12" s="176" t="s">
        <v>281</v>
      </c>
      <c r="I12" s="164" t="s">
        <v>180</v>
      </c>
      <c r="J12" s="176" t="s">
        <v>268</v>
      </c>
      <c r="K12" s="176" t="s">
        <v>181</v>
      </c>
      <c r="L12" s="176" t="s">
        <v>182</v>
      </c>
      <c r="M12" s="176" t="s">
        <v>183</v>
      </c>
      <c r="N12" s="176" t="s">
        <v>206</v>
      </c>
      <c r="O12" s="176"/>
      <c r="P12" s="176" t="s">
        <v>282</v>
      </c>
      <c r="Q12" s="176" t="s">
        <v>283</v>
      </c>
      <c r="R12" s="176" t="s">
        <v>284</v>
      </c>
      <c r="S12" s="176" t="s">
        <v>233</v>
      </c>
      <c r="T12" s="176" t="s">
        <v>285</v>
      </c>
      <c r="U12" s="176" t="s">
        <v>233</v>
      </c>
      <c r="V12" s="176" t="s">
        <v>286</v>
      </c>
      <c r="W12" s="176" t="s">
        <v>233</v>
      </c>
      <c r="X12" s="190">
        <f t="shared" si="0"/>
        <v>1002</v>
      </c>
      <c r="Y12" s="176" t="s">
        <v>287</v>
      </c>
      <c r="Z12" s="166" t="s">
        <v>215</v>
      </c>
      <c r="AA12" s="176" t="s">
        <v>216</v>
      </c>
      <c r="AB12" s="176" t="s">
        <v>217</v>
      </c>
      <c r="AC12" s="164" t="s">
        <v>288</v>
      </c>
      <c r="AD12" s="164" t="s">
        <v>276</v>
      </c>
      <c r="AE12" s="176" t="s">
        <v>277</v>
      </c>
      <c r="AF12" s="176">
        <v>0</v>
      </c>
      <c r="AG12" s="191">
        <v>1000</v>
      </c>
      <c r="AH12" s="428">
        <v>1000</v>
      </c>
      <c r="AI12" s="305">
        <v>100</v>
      </c>
      <c r="AJ12" s="191">
        <v>1000</v>
      </c>
      <c r="AK12" s="191">
        <v>1000</v>
      </c>
      <c r="AL12" s="191">
        <v>0</v>
      </c>
      <c r="AM12" s="171">
        <v>1002</v>
      </c>
      <c r="AN12" s="428">
        <v>1011</v>
      </c>
      <c r="AO12" s="432">
        <v>100</v>
      </c>
      <c r="AP12" s="512">
        <v>803</v>
      </c>
      <c r="AQ12" s="191">
        <v>0</v>
      </c>
      <c r="AR12" s="221" t="str">
        <f t="shared" si="1"/>
        <v>0</v>
      </c>
      <c r="AS12" s="221">
        <f t="shared" si="2"/>
        <v>1.002</v>
      </c>
      <c r="AT12" s="221">
        <f t="shared" si="3"/>
        <v>1</v>
      </c>
      <c r="AU12" s="221">
        <f t="shared" si="4"/>
        <v>0.80300000000000005</v>
      </c>
      <c r="AV12" s="221">
        <f t="shared" si="5"/>
        <v>0</v>
      </c>
      <c r="AW12" s="466">
        <v>0</v>
      </c>
      <c r="AX12" s="466">
        <v>0</v>
      </c>
      <c r="AY12" s="466">
        <v>0</v>
      </c>
      <c r="AZ12" s="466">
        <v>311</v>
      </c>
      <c r="BA12" s="466">
        <v>0</v>
      </c>
      <c r="BB12" s="476">
        <v>0</v>
      </c>
      <c r="BC12" s="466">
        <v>0</v>
      </c>
      <c r="BD12" s="476">
        <v>378</v>
      </c>
      <c r="BE12" s="476">
        <v>0</v>
      </c>
      <c r="BF12" s="476">
        <v>311</v>
      </c>
      <c r="BG12" s="466">
        <v>0</v>
      </c>
      <c r="BH12" s="466">
        <v>0</v>
      </c>
      <c r="BI12" s="466">
        <v>0</v>
      </c>
      <c r="BJ12" s="466">
        <v>0</v>
      </c>
      <c r="BK12" s="466">
        <v>0</v>
      </c>
      <c r="BL12" s="466">
        <v>504</v>
      </c>
      <c r="BM12" s="466">
        <v>0</v>
      </c>
      <c r="BN12" s="466">
        <v>0</v>
      </c>
      <c r="BO12" s="466">
        <v>0</v>
      </c>
      <c r="BP12" s="466">
        <v>299</v>
      </c>
      <c r="BQ12" s="466">
        <v>0</v>
      </c>
      <c r="BR12" s="466">
        <v>0</v>
      </c>
      <c r="BS12" s="466">
        <v>0</v>
      </c>
      <c r="BT12" s="466">
        <v>0</v>
      </c>
      <c r="BU12" s="179" t="s">
        <v>1182</v>
      </c>
      <c r="BV12" s="179" t="s">
        <v>1182</v>
      </c>
      <c r="BW12" s="179" t="s">
        <v>1182</v>
      </c>
      <c r="BX12" s="174" t="s">
        <v>1333</v>
      </c>
      <c r="BY12" s="179" t="s">
        <v>1345</v>
      </c>
      <c r="BZ12" s="179" t="s">
        <v>1365</v>
      </c>
      <c r="CA12" s="179" t="s">
        <v>1426</v>
      </c>
      <c r="CB12" s="179" t="s">
        <v>1443</v>
      </c>
      <c r="CC12" s="174"/>
      <c r="CD12" s="179"/>
      <c r="CE12" s="179"/>
      <c r="CF12" s="179"/>
      <c r="CG12" s="192"/>
      <c r="CH12" s="504">
        <f t="shared" si="9"/>
        <v>197</v>
      </c>
      <c r="CI12" s="176" t="s">
        <v>1413</v>
      </c>
      <c r="CJ12" s="176"/>
      <c r="CK12" s="176"/>
      <c r="CL12" s="176"/>
      <c r="CM12" s="176"/>
      <c r="CN12" s="176"/>
      <c r="CO12" s="176"/>
      <c r="CP12" s="236"/>
      <c r="CQ12" s="223" t="str">
        <f t="shared" si="6"/>
        <v>ESTRATÉGICO</v>
      </c>
      <c r="CR12" s="224">
        <f t="shared" si="7"/>
        <v>0.80300000000000005</v>
      </c>
      <c r="CS12" s="225">
        <f>IFERROR(SUM($BI12:BI12)/SUM($AW12:AW12),0)</f>
        <v>0</v>
      </c>
      <c r="CT12" s="225">
        <f>IFERROR(SUM($BI12:BJ12)/SUM($AW12:AX12),0)</f>
        <v>0</v>
      </c>
      <c r="CU12" s="225">
        <f>IFERROR(SUM($BI12:BK12)/SUM($AW12:AY12),0)</f>
        <v>0</v>
      </c>
      <c r="CV12" s="225">
        <f>IFERROR(SUM($BI12:BL12)/SUM($AW12:AZ12),0)</f>
        <v>1.6205787781350482</v>
      </c>
      <c r="CW12" s="225">
        <f>IFERROR(SUM($BI12:BM12)/SUM($AW12:BA12),0)</f>
        <v>1.6205787781350482</v>
      </c>
      <c r="CX12" s="225">
        <f>IFERROR(SUM($BI12:BN12)/SUM($AW12:BB12),0)</f>
        <v>1.6205787781350482</v>
      </c>
      <c r="CY12" s="225">
        <f>IFERROR(SUM($BI12:BO12)/SUM($AW12:BC12),0)</f>
        <v>1.6205787781350482</v>
      </c>
      <c r="CZ12" s="225">
        <f>IFERROR(SUM($BI12:BP12)/SUM($AW12:BD12),0)</f>
        <v>1.1654571843251089</v>
      </c>
      <c r="DA12" s="225">
        <f>IFERROR(SUM($BI12:BQ12)/SUM($AW12:BE12),0)</f>
        <v>1.1654571843251089</v>
      </c>
      <c r="DB12" s="225">
        <f>IFERROR(SUM($BI12:BR12)/SUM($AW12:BF12),0)</f>
        <v>0.80300000000000005</v>
      </c>
      <c r="DC12" s="225">
        <f>IFERROR(SUM($BI12:BS12)/SUM($AW12:BG12),0)</f>
        <v>0.80300000000000005</v>
      </c>
      <c r="DD12" s="225">
        <f>IFERROR(SUM($BI12:BT12)/SUM($AW12:BH12),0)</f>
        <v>0.80300000000000005</v>
      </c>
      <c r="DE12" s="250" t="str">
        <f t="shared" si="8"/>
        <v>0</v>
      </c>
      <c r="DF12" s="251" t="str">
        <f>IFERROR(SUM($BI12:BJ12)/SUM($AW12:AX12),"0")</f>
        <v>0</v>
      </c>
      <c r="DG12" s="252" t="str">
        <f>IFERROR(SUM($BI12:BK12)/SUM($AW12:AY12),"0")</f>
        <v>0</v>
      </c>
      <c r="DH12" s="252">
        <f>IFERROR(SUM($BI12:BL12)/SUM($AW12:AZ12),"0")</f>
        <v>1.6205787781350482</v>
      </c>
      <c r="DI12" s="252">
        <f>IFERROR(SUM($BI12:BM12)/SUM($AW12:BA12),"0")</f>
        <v>1.6205787781350482</v>
      </c>
      <c r="DJ12" s="252">
        <f>IFERROR(SUM($BI12:BN12)/SUM($AW12:BB12),"0")</f>
        <v>1.6205787781350482</v>
      </c>
      <c r="DK12" s="252">
        <f>IFERROR(SUM($BI12:BO12)/SUM($AW12:BC12),"0")</f>
        <v>1.6205787781350482</v>
      </c>
      <c r="DL12" s="252">
        <f>IFERROR(SUM($BI12:BP12)/SUM($AW12:BD12),"0")</f>
        <v>1.1654571843251089</v>
      </c>
      <c r="DM12" s="252">
        <f>IFERROR(SUM($BI12:BQ12)/SUM($AW12:BE12),"0")</f>
        <v>1.1654571843251089</v>
      </c>
      <c r="DN12" s="252">
        <f>IFERROR(SUM($BI12:BR12)/SUM($AW12:BF12),"0")</f>
        <v>0.80300000000000005</v>
      </c>
      <c r="DO12" s="252">
        <f>IFERROR(SUM($BI12:BS12)/SUM($AW12:BG12),"0")</f>
        <v>0.80300000000000005</v>
      </c>
      <c r="DP12" s="253">
        <f>IFERROR(SUM($BI12:BT12)/SUM($AW12:BH12),"0")</f>
        <v>0.80300000000000005</v>
      </c>
    </row>
    <row r="13" spans="1:120" s="226" customFormat="1" ht="39" customHeight="1" x14ac:dyDescent="0.25">
      <c r="A13" s="182" t="s">
        <v>289</v>
      </c>
      <c r="B13" s="188" t="s">
        <v>290</v>
      </c>
      <c r="C13" s="176" t="s">
        <v>291</v>
      </c>
      <c r="D13" s="345" t="s">
        <v>176</v>
      </c>
      <c r="E13" s="161" t="s">
        <v>177</v>
      </c>
      <c r="F13" s="293" t="s">
        <v>292</v>
      </c>
      <c r="G13" s="161" t="s">
        <v>290</v>
      </c>
      <c r="H13" s="176" t="s">
        <v>293</v>
      </c>
      <c r="I13" s="164" t="s">
        <v>253</v>
      </c>
      <c r="J13" s="176" t="s">
        <v>294</v>
      </c>
      <c r="K13" s="176" t="s">
        <v>181</v>
      </c>
      <c r="L13" s="176" t="s">
        <v>182</v>
      </c>
      <c r="M13" s="176" t="s">
        <v>183</v>
      </c>
      <c r="N13" s="176" t="s">
        <v>206</v>
      </c>
      <c r="O13" s="176" t="s">
        <v>239</v>
      </c>
      <c r="P13" s="164" t="s">
        <v>295</v>
      </c>
      <c r="Q13" s="176" t="s">
        <v>296</v>
      </c>
      <c r="R13" s="176" t="s">
        <v>297</v>
      </c>
      <c r="S13" s="176" t="s">
        <v>233</v>
      </c>
      <c r="T13" s="176" t="s">
        <v>298</v>
      </c>
      <c r="U13" s="176" t="s">
        <v>233</v>
      </c>
      <c r="V13" s="176" t="s">
        <v>299</v>
      </c>
      <c r="W13" s="176" t="s">
        <v>233</v>
      </c>
      <c r="X13" s="190">
        <f t="shared" si="0"/>
        <v>1</v>
      </c>
      <c r="Y13" s="176" t="s">
        <v>300</v>
      </c>
      <c r="Z13" s="166" t="s">
        <v>215</v>
      </c>
      <c r="AA13" s="176" t="s">
        <v>216</v>
      </c>
      <c r="AB13" s="176" t="s">
        <v>217</v>
      </c>
      <c r="AC13" s="176" t="s">
        <v>301</v>
      </c>
      <c r="AD13" s="176" t="s">
        <v>301</v>
      </c>
      <c r="AE13" s="176" t="s">
        <v>302</v>
      </c>
      <c r="AF13" s="176">
        <v>0</v>
      </c>
      <c r="AG13" s="191">
        <v>1</v>
      </c>
      <c r="AH13" s="428">
        <v>1</v>
      </c>
      <c r="AI13" s="305">
        <v>100</v>
      </c>
      <c r="AJ13" s="191">
        <v>1</v>
      </c>
      <c r="AK13" s="191">
        <v>1</v>
      </c>
      <c r="AL13" s="191">
        <v>0</v>
      </c>
      <c r="AM13" s="171">
        <v>1</v>
      </c>
      <c r="AN13" s="431">
        <v>1</v>
      </c>
      <c r="AO13" s="432">
        <v>100</v>
      </c>
      <c r="AP13" s="512">
        <v>0</v>
      </c>
      <c r="AQ13" s="191">
        <v>0</v>
      </c>
      <c r="AR13" s="221" t="str">
        <f t="shared" si="1"/>
        <v>0</v>
      </c>
      <c r="AS13" s="221">
        <f t="shared" si="2"/>
        <v>1</v>
      </c>
      <c r="AT13" s="221">
        <f t="shared" si="3"/>
        <v>1</v>
      </c>
      <c r="AU13" s="221">
        <f t="shared" si="4"/>
        <v>0</v>
      </c>
      <c r="AV13" s="221">
        <f t="shared" si="5"/>
        <v>0</v>
      </c>
      <c r="AW13" s="466">
        <v>0</v>
      </c>
      <c r="AX13" s="466">
        <v>0</v>
      </c>
      <c r="AY13" s="466">
        <v>0</v>
      </c>
      <c r="AZ13" s="466">
        <v>0</v>
      </c>
      <c r="BA13" s="466">
        <v>0</v>
      </c>
      <c r="BB13" s="466">
        <v>0</v>
      </c>
      <c r="BC13" s="466">
        <v>0</v>
      </c>
      <c r="BD13" s="466">
        <v>0</v>
      </c>
      <c r="BE13" s="466">
        <v>0</v>
      </c>
      <c r="BF13" s="466">
        <v>0</v>
      </c>
      <c r="BG13" s="466">
        <v>1</v>
      </c>
      <c r="BH13" s="466">
        <v>0</v>
      </c>
      <c r="BI13" s="466">
        <v>0</v>
      </c>
      <c r="BJ13" s="466">
        <v>0</v>
      </c>
      <c r="BK13" s="466">
        <v>0</v>
      </c>
      <c r="BL13" s="466">
        <v>0</v>
      </c>
      <c r="BM13" s="466">
        <v>0</v>
      </c>
      <c r="BN13" s="466">
        <v>0</v>
      </c>
      <c r="BO13" s="466">
        <v>0</v>
      </c>
      <c r="BP13" s="466">
        <v>0</v>
      </c>
      <c r="BQ13" s="466">
        <v>0</v>
      </c>
      <c r="BR13" s="466">
        <v>0</v>
      </c>
      <c r="BS13" s="466">
        <v>0</v>
      </c>
      <c r="BT13" s="466">
        <v>0</v>
      </c>
      <c r="BU13" s="179" t="s">
        <v>1136</v>
      </c>
      <c r="BV13" s="179" t="s">
        <v>1136</v>
      </c>
      <c r="BW13" s="179" t="s">
        <v>1136</v>
      </c>
      <c r="BX13" s="174" t="s">
        <v>1322</v>
      </c>
      <c r="BY13" s="179" t="s">
        <v>1346</v>
      </c>
      <c r="BZ13" s="179" t="s">
        <v>1136</v>
      </c>
      <c r="CA13" s="179" t="s">
        <v>1427</v>
      </c>
      <c r="CB13" s="179" t="s">
        <v>1136</v>
      </c>
      <c r="CC13" s="179" t="s">
        <v>1136</v>
      </c>
      <c r="CD13" s="179" t="s">
        <v>1136</v>
      </c>
      <c r="CE13" s="179"/>
      <c r="CF13" s="179"/>
      <c r="CG13" s="192"/>
      <c r="CH13" s="504">
        <f t="shared" si="9"/>
        <v>1</v>
      </c>
      <c r="CI13" s="176" t="s">
        <v>1413</v>
      </c>
      <c r="CJ13" s="231">
        <v>0</v>
      </c>
      <c r="CK13" s="231">
        <v>0.75</v>
      </c>
      <c r="CL13" s="231">
        <v>0.76</v>
      </c>
      <c r="CM13" s="231">
        <v>1</v>
      </c>
      <c r="CN13" s="231">
        <v>1.01</v>
      </c>
      <c r="CO13" s="231">
        <v>1.3</v>
      </c>
      <c r="CP13" s="232" t="s">
        <v>303</v>
      </c>
      <c r="CQ13" s="223" t="str">
        <f t="shared" si="6"/>
        <v>ESTRATÉGICO</v>
      </c>
      <c r="CR13" s="224">
        <f t="shared" si="7"/>
        <v>0</v>
      </c>
      <c r="CS13" s="225">
        <f>IFERROR(SUM($BI13:BI13)/SUM($AW13:AW13),0)</f>
        <v>0</v>
      </c>
      <c r="CT13" s="225">
        <f>IFERROR(SUM($BI13:BJ13)/SUM($AW13:AX13),0)</f>
        <v>0</v>
      </c>
      <c r="CU13" s="225">
        <f>IFERROR(SUM($BI13:BK13)/SUM($AW13:AY13),0)</f>
        <v>0</v>
      </c>
      <c r="CV13" s="225">
        <f>IFERROR(SUM($BI13:BL13)/SUM($AW13:AZ13),0)</f>
        <v>0</v>
      </c>
      <c r="CW13" s="225">
        <f>IFERROR(SUM($BI13:BM13)/SUM($AW13:BA13),0)</f>
        <v>0</v>
      </c>
      <c r="CX13" s="225">
        <f>IFERROR(SUM($BI13:BN13)/SUM($AW13:BB13),0)</f>
        <v>0</v>
      </c>
      <c r="CY13" s="225">
        <f>IFERROR(SUM($BI13:BO13)/SUM($AW13:BC13),0)</f>
        <v>0</v>
      </c>
      <c r="CZ13" s="225">
        <f>IFERROR(SUM($BI13:BP13)/SUM($AW13:BD13),0)</f>
        <v>0</v>
      </c>
      <c r="DA13" s="225">
        <f>IFERROR(SUM($BI13:BQ13)/SUM($AW13:BE13),0)</f>
        <v>0</v>
      </c>
      <c r="DB13" s="225">
        <f>IFERROR(SUM($BI13:BR13)/SUM($AW13:BF13),0)</f>
        <v>0</v>
      </c>
      <c r="DC13" s="225">
        <f>IFERROR(SUM($BI13:BS13)/SUM($AW13:BG13),0)</f>
        <v>0</v>
      </c>
      <c r="DD13" s="225">
        <f>IFERROR(SUM($BI13:BT13)/SUM($AW13:BH13),0)</f>
        <v>0</v>
      </c>
      <c r="DE13" s="250" t="str">
        <f t="shared" si="8"/>
        <v>0</v>
      </c>
      <c r="DF13" s="251" t="str">
        <f>IFERROR(SUM($BI13:BJ13)/SUM($AW13:AX13),"0")</f>
        <v>0</v>
      </c>
      <c r="DG13" s="252" t="str">
        <f>IFERROR(SUM($BI13:BK13)/SUM($AW13:AY13),"0")</f>
        <v>0</v>
      </c>
      <c r="DH13" s="252" t="str">
        <f>IFERROR(SUM($BI13:BL13)/SUM($AW13:AZ13),"0")</f>
        <v>0</v>
      </c>
      <c r="DI13" s="252" t="str">
        <f>IFERROR(SUM($BI13:BM13)/SUM($AW13:BA13),"0")</f>
        <v>0</v>
      </c>
      <c r="DJ13" s="252" t="str">
        <f>IFERROR(SUM($BI13:BN13)/SUM($AW13:BB13),"0")</f>
        <v>0</v>
      </c>
      <c r="DK13" s="252" t="str">
        <f>IFERROR(SUM($BI13:BO13)/SUM($AW13:BC13),"0")</f>
        <v>0</v>
      </c>
      <c r="DL13" s="252" t="str">
        <f>IFERROR(SUM($BI13:BP13)/SUM($AW13:BD13),"0")</f>
        <v>0</v>
      </c>
      <c r="DM13" s="252" t="str">
        <f>IFERROR(SUM($BI13:BQ13)/SUM($AW13:BE13),"0")</f>
        <v>0</v>
      </c>
      <c r="DN13" s="252" t="str">
        <f>IFERROR(SUM($BI13:BR13)/SUM($AW13:BF13),"0")</f>
        <v>0</v>
      </c>
      <c r="DO13" s="252">
        <f>IFERROR(SUM($BI13:BS13)/SUM($AW13:BG13),"0")</f>
        <v>0</v>
      </c>
      <c r="DP13" s="253">
        <f>IFERROR(SUM($BI13:BT13)/SUM($AW13:BH13),"0")</f>
        <v>0</v>
      </c>
    </row>
    <row r="14" spans="1:120" s="285" customFormat="1" ht="39" customHeight="1" x14ac:dyDescent="0.25">
      <c r="A14" s="198" t="s">
        <v>304</v>
      </c>
      <c r="B14" s="188" t="s">
        <v>290</v>
      </c>
      <c r="C14" s="176" t="s">
        <v>305</v>
      </c>
      <c r="D14" s="345" t="s">
        <v>176</v>
      </c>
      <c r="E14" s="161" t="s">
        <v>177</v>
      </c>
      <c r="F14" s="293" t="s">
        <v>306</v>
      </c>
      <c r="G14" s="161" t="s">
        <v>290</v>
      </c>
      <c r="H14" s="176" t="s">
        <v>307</v>
      </c>
      <c r="I14" s="164" t="s">
        <v>180</v>
      </c>
      <c r="J14" s="176" t="s">
        <v>294</v>
      </c>
      <c r="K14" s="176" t="s">
        <v>181</v>
      </c>
      <c r="L14" s="176" t="s">
        <v>182</v>
      </c>
      <c r="M14" s="176" t="s">
        <v>183</v>
      </c>
      <c r="N14" s="176" t="s">
        <v>308</v>
      </c>
      <c r="O14" s="176" t="s">
        <v>239</v>
      </c>
      <c r="P14" s="164" t="s">
        <v>309</v>
      </c>
      <c r="Q14" s="176" t="s">
        <v>310</v>
      </c>
      <c r="R14" s="176" t="s">
        <v>311</v>
      </c>
      <c r="S14" s="176" t="s">
        <v>233</v>
      </c>
      <c r="T14" s="176" t="s">
        <v>312</v>
      </c>
      <c r="U14" s="176" t="s">
        <v>233</v>
      </c>
      <c r="V14" s="176" t="s">
        <v>313</v>
      </c>
      <c r="W14" s="176" t="s">
        <v>233</v>
      </c>
      <c r="X14" s="190">
        <f t="shared" si="0"/>
        <v>4034</v>
      </c>
      <c r="Y14" s="176" t="s">
        <v>314</v>
      </c>
      <c r="Z14" s="166" t="s">
        <v>215</v>
      </c>
      <c r="AA14" s="176" t="s">
        <v>216</v>
      </c>
      <c r="AB14" s="176" t="s">
        <v>217</v>
      </c>
      <c r="AC14" s="176" t="s">
        <v>315</v>
      </c>
      <c r="AD14" s="176" t="s">
        <v>315</v>
      </c>
      <c r="AE14" s="176" t="s">
        <v>302</v>
      </c>
      <c r="AF14" s="176">
        <v>0</v>
      </c>
      <c r="AG14" s="191">
        <v>3500</v>
      </c>
      <c r="AH14" s="428">
        <v>2000</v>
      </c>
      <c r="AI14" s="305">
        <v>100</v>
      </c>
      <c r="AJ14" s="191">
        <v>2000</v>
      </c>
      <c r="AK14" s="191">
        <v>500</v>
      </c>
      <c r="AL14" s="191">
        <v>0</v>
      </c>
      <c r="AM14" s="171">
        <v>4034</v>
      </c>
      <c r="AN14" s="428">
        <v>2538</v>
      </c>
      <c r="AO14" s="432">
        <v>100</v>
      </c>
      <c r="AP14" s="512">
        <v>1638</v>
      </c>
      <c r="AQ14" s="191">
        <v>0</v>
      </c>
      <c r="AR14" s="221" t="str">
        <f t="shared" si="1"/>
        <v>0</v>
      </c>
      <c r="AS14" s="221">
        <f t="shared" si="2"/>
        <v>1.1525714285714286</v>
      </c>
      <c r="AT14" s="221">
        <f t="shared" si="3"/>
        <v>1</v>
      </c>
      <c r="AU14" s="221">
        <f t="shared" si="4"/>
        <v>0.81899999999999995</v>
      </c>
      <c r="AV14" s="221">
        <f t="shared" si="5"/>
        <v>0</v>
      </c>
      <c r="AW14" s="467">
        <v>0</v>
      </c>
      <c r="AX14" s="467">
        <v>0</v>
      </c>
      <c r="AY14" s="467">
        <v>222</v>
      </c>
      <c r="AZ14" s="467">
        <v>222</v>
      </c>
      <c r="BA14" s="467">
        <v>222</v>
      </c>
      <c r="BB14" s="467">
        <v>222</v>
      </c>
      <c r="BC14" s="467">
        <v>222</v>
      </c>
      <c r="BD14" s="467">
        <v>222</v>
      </c>
      <c r="BE14" s="467">
        <v>222</v>
      </c>
      <c r="BF14" s="467">
        <v>222</v>
      </c>
      <c r="BG14" s="467">
        <v>224</v>
      </c>
      <c r="BH14" s="467">
        <v>0</v>
      </c>
      <c r="BI14" s="466">
        <v>0</v>
      </c>
      <c r="BJ14" s="466">
        <v>0</v>
      </c>
      <c r="BK14" s="466">
        <v>173</v>
      </c>
      <c r="BL14" s="466">
        <v>196</v>
      </c>
      <c r="BM14" s="466">
        <v>297</v>
      </c>
      <c r="BN14" s="516">
        <v>401</v>
      </c>
      <c r="BO14" s="516">
        <v>121</v>
      </c>
      <c r="BP14" s="466">
        <v>450</v>
      </c>
      <c r="BQ14" s="466">
        <v>0</v>
      </c>
      <c r="BR14" s="466">
        <v>0</v>
      </c>
      <c r="BS14" s="466">
        <v>0</v>
      </c>
      <c r="BT14" s="466">
        <v>0</v>
      </c>
      <c r="BU14" s="179" t="s">
        <v>1134</v>
      </c>
      <c r="BV14" s="179" t="s">
        <v>1134</v>
      </c>
      <c r="BW14" s="179" t="s">
        <v>1202</v>
      </c>
      <c r="BX14" s="174" t="s">
        <v>1334</v>
      </c>
      <c r="BY14" s="179" t="s">
        <v>1347</v>
      </c>
      <c r="BZ14" s="179" t="s">
        <v>1366</v>
      </c>
      <c r="CA14" s="179" t="s">
        <v>1428</v>
      </c>
      <c r="CB14" s="332" t="s">
        <v>1444</v>
      </c>
      <c r="CC14" s="334"/>
      <c r="CD14" s="179"/>
      <c r="CE14" s="179"/>
      <c r="CF14" s="179"/>
      <c r="CG14" s="192"/>
      <c r="CH14" s="504">
        <f t="shared" si="9"/>
        <v>362</v>
      </c>
      <c r="CI14" s="176" t="s">
        <v>1413</v>
      </c>
      <c r="CJ14" s="231">
        <v>0</v>
      </c>
      <c r="CK14" s="231">
        <v>0.7</v>
      </c>
      <c r="CL14" s="231">
        <v>0.51</v>
      </c>
      <c r="CM14" s="231">
        <v>1</v>
      </c>
      <c r="CN14" s="231">
        <v>1.01</v>
      </c>
      <c r="CO14" s="231">
        <v>1.3</v>
      </c>
      <c r="CP14" s="227"/>
      <c r="CQ14" s="223" t="str">
        <f t="shared" si="6"/>
        <v>ESTRATÉGICO</v>
      </c>
      <c r="CR14" s="224">
        <f t="shared" si="7"/>
        <v>0.81899999999999995</v>
      </c>
      <c r="CS14" s="225">
        <f>IFERROR(SUM($BI14:BI14)/SUM($AW14:AW14),0)</f>
        <v>0</v>
      </c>
      <c r="CT14" s="225">
        <f>IFERROR(SUM($BI14:BJ14)/SUM($AW14:AX14),0)</f>
        <v>0</v>
      </c>
      <c r="CU14" s="225">
        <f>IFERROR(SUM($BI14:BK14)/SUM($AW14:AY14),0)</f>
        <v>0.77927927927927931</v>
      </c>
      <c r="CV14" s="225">
        <f>IFERROR(SUM($BI14:BL14)/SUM($AW14:AZ14),0)</f>
        <v>0.83108108108108103</v>
      </c>
      <c r="CW14" s="225">
        <f>IFERROR(SUM($BI14:BM14)/SUM($AW14:BA14),0)</f>
        <v>1</v>
      </c>
      <c r="CX14" s="225">
        <f>IFERROR(SUM($BI14:BN14)/SUM($AW14:BB14),0)</f>
        <v>1.2015765765765767</v>
      </c>
      <c r="CY14" s="225">
        <f>IFERROR(SUM($BI14:BO14)/SUM($AW14:BC14),0)</f>
        <v>1.0702702702702702</v>
      </c>
      <c r="CZ14" s="225">
        <f>IFERROR(SUM($BI14:BP14)/SUM($AW14:BD14),0)</f>
        <v>1.2297297297297298</v>
      </c>
      <c r="DA14" s="225">
        <f>IFERROR(SUM($BI14:BQ14)/SUM($AW14:BE14),0)</f>
        <v>1.0540540540540539</v>
      </c>
      <c r="DB14" s="225">
        <f>IFERROR(SUM($BI14:BR14)/SUM($AW14:BF14),0)</f>
        <v>0.92229729729729726</v>
      </c>
      <c r="DC14" s="225">
        <f>IFERROR(SUM($BI14:BS14)/SUM($AW14:BG14),0)</f>
        <v>0.81899999999999995</v>
      </c>
      <c r="DD14" s="225">
        <f>IFERROR(SUM($BI14:BT14)/SUM($AW14:BH14),0)</f>
        <v>0.81899999999999995</v>
      </c>
      <c r="DE14" s="254" t="str">
        <f t="shared" si="8"/>
        <v>0</v>
      </c>
      <c r="DF14" s="255" t="str">
        <f>IFERROR(SUM($BI14:BJ14)/SUM($AW14:AX14),"0")</f>
        <v>0</v>
      </c>
      <c r="DG14" s="256">
        <f>IFERROR(SUM($BI14:BK14)/SUM($AW14:AY14),"0")</f>
        <v>0.77927927927927931</v>
      </c>
      <c r="DH14" s="256">
        <f>IFERROR(SUM($BI14:BL14)/SUM($AW14:AZ14),"0")</f>
        <v>0.83108108108108103</v>
      </c>
      <c r="DI14" s="256">
        <f>IFERROR(SUM($BI14:BM14)/SUM($AW14:BA14),"0")</f>
        <v>1</v>
      </c>
      <c r="DJ14" s="256">
        <f>IFERROR(SUM($BI14:BN14)/SUM($AW14:BB14),"0")</f>
        <v>1.2015765765765767</v>
      </c>
      <c r="DK14" s="256">
        <f>IFERROR(SUM($BI14:BO14)/SUM($AW14:BC14),"0")</f>
        <v>1.0702702702702702</v>
      </c>
      <c r="DL14" s="256">
        <f>IFERROR(SUM($BI14:BP14)/SUM($AW14:BD14),"0")</f>
        <v>1.2297297297297298</v>
      </c>
      <c r="DM14" s="256">
        <f>IFERROR(SUM($BI14:BQ14)/SUM($AW14:BE14),"0")</f>
        <v>1.0540540540540539</v>
      </c>
      <c r="DN14" s="256">
        <f>IFERROR(SUM($BI14:BR14)/SUM($AW14:BF14),"0")</f>
        <v>0.92229729729729726</v>
      </c>
      <c r="DO14" s="256">
        <f>IFERROR(SUM($BI14:BS14)/SUM($AW14:BG14),"0")</f>
        <v>0.81899999999999995</v>
      </c>
      <c r="DP14" s="257">
        <f>IFERROR(SUM($BI14:BT14)/SUM($AW14:BH14),"0")</f>
        <v>0.81899999999999995</v>
      </c>
    </row>
    <row r="15" spans="1:120" s="226" customFormat="1" ht="52.35" customHeight="1" x14ac:dyDescent="0.25">
      <c r="A15" s="182" t="s">
        <v>316</v>
      </c>
      <c r="B15" s="188" t="s">
        <v>317</v>
      </c>
      <c r="C15" s="176" t="s">
        <v>318</v>
      </c>
      <c r="D15" s="346" t="s">
        <v>319</v>
      </c>
      <c r="E15" s="188" t="s">
        <v>177</v>
      </c>
      <c r="F15" s="293" t="s">
        <v>320</v>
      </c>
      <c r="G15" s="161" t="s">
        <v>317</v>
      </c>
      <c r="H15" s="176" t="s">
        <v>321</v>
      </c>
      <c r="I15" s="164" t="s">
        <v>253</v>
      </c>
      <c r="J15" s="164" t="s">
        <v>322</v>
      </c>
      <c r="K15" s="176" t="s">
        <v>181</v>
      </c>
      <c r="L15" s="164" t="s">
        <v>183</v>
      </c>
      <c r="M15" s="176"/>
      <c r="N15" s="176"/>
      <c r="O15" s="176"/>
      <c r="P15" s="176" t="s">
        <v>323</v>
      </c>
      <c r="Q15" s="176" t="s">
        <v>324</v>
      </c>
      <c r="R15" s="176" t="s">
        <v>325</v>
      </c>
      <c r="S15" s="176" t="s">
        <v>233</v>
      </c>
      <c r="T15" s="176" t="s">
        <v>326</v>
      </c>
      <c r="U15" s="176" t="s">
        <v>233</v>
      </c>
      <c r="V15" s="176" t="s">
        <v>327</v>
      </c>
      <c r="W15" s="176" t="s">
        <v>233</v>
      </c>
      <c r="X15" s="190">
        <f t="shared" si="0"/>
        <v>1692</v>
      </c>
      <c r="Y15" s="176" t="s">
        <v>328</v>
      </c>
      <c r="Z15" s="166" t="s">
        <v>329</v>
      </c>
      <c r="AA15" s="176" t="s">
        <v>216</v>
      </c>
      <c r="AB15" s="176" t="s">
        <v>217</v>
      </c>
      <c r="AC15" s="164" t="s">
        <v>330</v>
      </c>
      <c r="AD15" s="164" t="s">
        <v>330</v>
      </c>
      <c r="AE15" s="164" t="s">
        <v>331</v>
      </c>
      <c r="AF15" s="176">
        <v>0</v>
      </c>
      <c r="AG15" s="191">
        <v>1382</v>
      </c>
      <c r="AH15" s="428">
        <v>957</v>
      </c>
      <c r="AI15" s="305">
        <v>100</v>
      </c>
      <c r="AJ15" s="191">
        <v>957</v>
      </c>
      <c r="AK15" s="191">
        <v>3974</v>
      </c>
      <c r="AL15" s="191">
        <v>0</v>
      </c>
      <c r="AM15" s="171">
        <v>1692</v>
      </c>
      <c r="AN15" s="428">
        <v>1572</v>
      </c>
      <c r="AO15" s="432">
        <v>100</v>
      </c>
      <c r="AP15" s="512">
        <v>2153</v>
      </c>
      <c r="AQ15" s="191">
        <v>0</v>
      </c>
      <c r="AR15" s="221" t="str">
        <f t="shared" si="1"/>
        <v>0</v>
      </c>
      <c r="AS15" s="221">
        <f t="shared" si="2"/>
        <v>1.2243125904486252</v>
      </c>
      <c r="AT15" s="221">
        <f t="shared" si="3"/>
        <v>1</v>
      </c>
      <c r="AU15" s="221">
        <f t="shared" si="4"/>
        <v>2.2497387669801463</v>
      </c>
      <c r="AV15" s="221">
        <f t="shared" si="5"/>
        <v>0</v>
      </c>
      <c r="AW15" s="467">
        <v>27</v>
      </c>
      <c r="AX15" s="467">
        <v>90</v>
      </c>
      <c r="AY15" s="467">
        <v>90</v>
      </c>
      <c r="AZ15" s="467">
        <v>90</v>
      </c>
      <c r="BA15" s="467">
        <v>90</v>
      </c>
      <c r="BB15" s="467">
        <v>90</v>
      </c>
      <c r="BC15" s="467">
        <v>90</v>
      </c>
      <c r="BD15" s="467">
        <v>90</v>
      </c>
      <c r="BE15" s="467">
        <v>90</v>
      </c>
      <c r="BF15" s="467">
        <v>90</v>
      </c>
      <c r="BG15" s="467">
        <v>90</v>
      </c>
      <c r="BH15" s="467">
        <v>30</v>
      </c>
      <c r="BI15" s="467">
        <v>670</v>
      </c>
      <c r="BJ15" s="467">
        <v>60</v>
      </c>
      <c r="BK15" s="467">
        <v>471</v>
      </c>
      <c r="BL15" s="467">
        <v>502</v>
      </c>
      <c r="BM15" s="467">
        <v>29</v>
      </c>
      <c r="BN15" s="517">
        <v>77</v>
      </c>
      <c r="BO15" s="517">
        <v>73</v>
      </c>
      <c r="BP15" s="467">
        <v>271</v>
      </c>
      <c r="BQ15" s="467">
        <v>0</v>
      </c>
      <c r="BR15" s="467">
        <v>0</v>
      </c>
      <c r="BS15" s="467">
        <v>0</v>
      </c>
      <c r="BT15" s="467">
        <v>0</v>
      </c>
      <c r="BU15" s="296" t="s">
        <v>1137</v>
      </c>
      <c r="BV15" s="296" t="s">
        <v>1183</v>
      </c>
      <c r="BW15" s="164" t="s">
        <v>1203</v>
      </c>
      <c r="BX15" s="174" t="s">
        <v>1323</v>
      </c>
      <c r="BY15" s="179" t="s">
        <v>1348</v>
      </c>
      <c r="BZ15" s="179" t="s">
        <v>1367</v>
      </c>
      <c r="CA15" s="179" t="s">
        <v>1429</v>
      </c>
      <c r="CB15" s="332" t="s">
        <v>1445</v>
      </c>
      <c r="CC15" s="333"/>
      <c r="CD15" s="338"/>
      <c r="CE15" s="179"/>
      <c r="CF15" s="179"/>
      <c r="CG15" s="192"/>
      <c r="CH15" s="504">
        <f t="shared" si="9"/>
        <v>-1196</v>
      </c>
      <c r="CI15" s="176" t="s">
        <v>1413</v>
      </c>
      <c r="CJ15" s="233">
        <v>0</v>
      </c>
      <c r="CK15" s="233">
        <v>0.89</v>
      </c>
      <c r="CL15" s="233">
        <v>0.9</v>
      </c>
      <c r="CM15" s="233">
        <v>0.98</v>
      </c>
      <c r="CN15" s="234">
        <v>0.99</v>
      </c>
      <c r="CO15" s="234">
        <v>1</v>
      </c>
      <c r="CP15" s="232" t="s">
        <v>332</v>
      </c>
      <c r="CQ15" s="223" t="str">
        <f t="shared" si="6"/>
        <v>TÁCTICO</v>
      </c>
      <c r="CR15" s="224">
        <f t="shared" si="7"/>
        <v>2.2497387669801463</v>
      </c>
      <c r="CS15" s="225">
        <f>IFERROR(SUM($BI15:BI15)/SUM($AW15:AW15),0)</f>
        <v>24.814814814814813</v>
      </c>
      <c r="CT15" s="225">
        <f>IFERROR(SUM($BI15:BJ15)/SUM($AW15:AX15),0)</f>
        <v>6.2393162393162394</v>
      </c>
      <c r="CU15" s="225">
        <f>IFERROR(SUM($BI15:BK15)/SUM($AW15:AY15),0)</f>
        <v>5.8019323671497585</v>
      </c>
      <c r="CV15" s="225">
        <f>IFERROR(SUM($BI15:BL15)/SUM($AW15:AZ15),0)</f>
        <v>5.7340067340067344</v>
      </c>
      <c r="CW15" s="225">
        <f>IFERROR(SUM($BI15:BM15)/SUM($AW15:BA15),0)</f>
        <v>4.4754521963824292</v>
      </c>
      <c r="CX15" s="225">
        <f>IFERROR(SUM($BI15:BN15)/SUM($AW15:BB15),0)</f>
        <v>3.7924528301886791</v>
      </c>
      <c r="CY15" s="225">
        <f>IFERROR(SUM($BI15:BO15)/SUM($AW15:BC15),0)</f>
        <v>3.3192239858906527</v>
      </c>
      <c r="CZ15" s="225">
        <f>IFERROR(SUM($BI15:BP15)/SUM($AW15:BD15),0)</f>
        <v>3.2770167427701673</v>
      </c>
      <c r="DA15" s="225">
        <f>IFERROR(SUM($BI15:BQ15)/SUM($AW15:BE15),0)</f>
        <v>2.8821954484605086</v>
      </c>
      <c r="DB15" s="225">
        <f>IFERROR(SUM($BI15:BR15)/SUM($AW15:BF15),0)</f>
        <v>2.5722819593787336</v>
      </c>
      <c r="DC15" s="225">
        <f>IFERROR(SUM($BI15:BS15)/SUM($AW15:BG15),0)</f>
        <v>2.3225458468176914</v>
      </c>
      <c r="DD15" s="225">
        <f>IFERROR(SUM($BI15:BT15)/SUM($AW15:BH15),0)</f>
        <v>2.2497387669801463</v>
      </c>
      <c r="DE15" s="250">
        <f t="shared" si="8"/>
        <v>24.814814814814813</v>
      </c>
      <c r="DF15" s="251">
        <f>IFERROR(SUM($BI15:BJ15)/SUM($AW15:AX15),"0")</f>
        <v>6.2393162393162394</v>
      </c>
      <c r="DG15" s="252">
        <f>IFERROR(SUM($BI15:BK15)/SUM($AW15:AY15),"0")</f>
        <v>5.8019323671497585</v>
      </c>
      <c r="DH15" s="252">
        <f>IFERROR(SUM($BI15:BL15)/SUM($AW15:AZ15),"0")</f>
        <v>5.7340067340067344</v>
      </c>
      <c r="DI15" s="252">
        <f>IFERROR(SUM($BI15:BM15)/SUM($AW15:BA15),"0")</f>
        <v>4.4754521963824292</v>
      </c>
      <c r="DJ15" s="252">
        <f>IFERROR(SUM($BI15:BN15)/SUM($AW15:BB15),"0")</f>
        <v>3.7924528301886791</v>
      </c>
      <c r="DK15" s="252">
        <f>IFERROR(SUM($BI15:BO15)/SUM($AW15:BC15),"0")</f>
        <v>3.3192239858906527</v>
      </c>
      <c r="DL15" s="252">
        <f>IFERROR(SUM($BI15:BP15)/SUM($AW15:BD15),"0")</f>
        <v>3.2770167427701673</v>
      </c>
      <c r="DM15" s="252">
        <f>IFERROR(SUM($BI15:BQ15)/SUM($AW15:BE15),"0")</f>
        <v>2.8821954484605086</v>
      </c>
      <c r="DN15" s="252">
        <f>IFERROR(SUM($BI15:BR15)/SUM($AW15:BF15),"0")</f>
        <v>2.5722819593787336</v>
      </c>
      <c r="DO15" s="252">
        <f>IFERROR(SUM($BI15:BS15)/SUM($AW15:BG15),"0")</f>
        <v>2.3225458468176914</v>
      </c>
      <c r="DP15" s="253">
        <f>IFERROR(SUM($BI15:BT15)/SUM($AW15:BH15),"0")</f>
        <v>2.2497387669801463</v>
      </c>
    </row>
    <row r="16" spans="1:120" s="226" customFormat="1" ht="58.35" customHeight="1" x14ac:dyDescent="0.25">
      <c r="A16" s="182" t="s">
        <v>316</v>
      </c>
      <c r="B16" s="188" t="s">
        <v>317</v>
      </c>
      <c r="C16" s="176" t="s">
        <v>333</v>
      </c>
      <c r="D16" s="346" t="s">
        <v>176</v>
      </c>
      <c r="E16" s="188" t="s">
        <v>177</v>
      </c>
      <c r="F16" s="293" t="s">
        <v>334</v>
      </c>
      <c r="G16" s="161" t="s">
        <v>317</v>
      </c>
      <c r="H16" s="176" t="s">
        <v>335</v>
      </c>
      <c r="I16" s="164" t="s">
        <v>253</v>
      </c>
      <c r="J16" s="164" t="s">
        <v>322</v>
      </c>
      <c r="K16" s="176" t="s">
        <v>181</v>
      </c>
      <c r="L16" s="164" t="s">
        <v>182</v>
      </c>
      <c r="M16" s="176" t="s">
        <v>183</v>
      </c>
      <c r="N16" s="176"/>
      <c r="O16" s="176"/>
      <c r="P16" s="176" t="s">
        <v>1219</v>
      </c>
      <c r="Q16" s="176" t="s">
        <v>336</v>
      </c>
      <c r="R16" s="176" t="s">
        <v>337</v>
      </c>
      <c r="S16" s="176" t="s">
        <v>1220</v>
      </c>
      <c r="T16" s="176" t="s">
        <v>338</v>
      </c>
      <c r="U16" s="176" t="s">
        <v>339</v>
      </c>
      <c r="V16" s="176" t="s">
        <v>327</v>
      </c>
      <c r="W16" s="176" t="s">
        <v>340</v>
      </c>
      <c r="X16" s="190">
        <f t="shared" si="0"/>
        <v>36.729377713458753</v>
      </c>
      <c r="Y16" s="176">
        <v>0</v>
      </c>
      <c r="Z16" s="166" t="s">
        <v>329</v>
      </c>
      <c r="AA16" s="176" t="s">
        <v>216</v>
      </c>
      <c r="AB16" s="176" t="s">
        <v>217</v>
      </c>
      <c r="AC16" s="164" t="s">
        <v>330</v>
      </c>
      <c r="AD16" s="164" t="s">
        <v>330</v>
      </c>
      <c r="AE16" s="164" t="s">
        <v>331</v>
      </c>
      <c r="AF16" s="176">
        <v>0</v>
      </c>
      <c r="AG16" s="191">
        <v>30</v>
      </c>
      <c r="AH16" s="428">
        <v>30</v>
      </c>
      <c r="AI16" s="305">
        <v>100</v>
      </c>
      <c r="AJ16" s="191">
        <v>30</v>
      </c>
      <c r="AK16" s="191">
        <v>30</v>
      </c>
      <c r="AL16" s="191">
        <v>0</v>
      </c>
      <c r="AM16" s="171">
        <v>36.729377713458753</v>
      </c>
      <c r="AN16" s="431">
        <v>49.3</v>
      </c>
      <c r="AO16" s="432">
        <v>100</v>
      </c>
      <c r="AP16" s="515">
        <v>67.5</v>
      </c>
      <c r="AQ16" s="191">
        <v>0</v>
      </c>
      <c r="AR16" s="221" t="str">
        <f t="shared" si="1"/>
        <v>0</v>
      </c>
      <c r="AS16" s="221">
        <f t="shared" si="2"/>
        <v>1.2243125904486252</v>
      </c>
      <c r="AT16" s="221">
        <f t="shared" si="3"/>
        <v>1</v>
      </c>
      <c r="AU16" s="221">
        <f t="shared" si="4"/>
        <v>2.25</v>
      </c>
      <c r="AV16" s="221">
        <f t="shared" si="5"/>
        <v>0</v>
      </c>
      <c r="AW16" s="461">
        <v>8.5000000000000006E-3</v>
      </c>
      <c r="AX16" s="461">
        <v>2.8199999999999999E-2</v>
      </c>
      <c r="AY16" s="461">
        <v>2.8199999999999999E-2</v>
      </c>
      <c r="AZ16" s="461">
        <v>2.8199999999999999E-2</v>
      </c>
      <c r="BA16" s="461">
        <v>2.8199999999999999E-2</v>
      </c>
      <c r="BB16" s="461">
        <v>2.8199999999999999E-2</v>
      </c>
      <c r="BC16" s="461">
        <v>2.8199999999999999E-2</v>
      </c>
      <c r="BD16" s="461">
        <v>2.8199999999999999E-2</v>
      </c>
      <c r="BE16" s="461">
        <v>2.8199999999999999E-2</v>
      </c>
      <c r="BF16" s="461">
        <v>2.8199999999999999E-2</v>
      </c>
      <c r="BG16" s="461">
        <v>2.8199999999999999E-2</v>
      </c>
      <c r="BH16" s="461">
        <v>9.4000000000000004E-3</v>
      </c>
      <c r="BI16" s="465">
        <v>0.21</v>
      </c>
      <c r="BJ16" s="491">
        <v>1.8800000000000001E-2</v>
      </c>
      <c r="BK16" s="491">
        <v>0.14764890282131662</v>
      </c>
      <c r="BL16" s="491">
        <v>0.15740000000000001</v>
      </c>
      <c r="BM16" s="491">
        <v>9.1000000000000004E-3</v>
      </c>
      <c r="BN16" s="518">
        <v>2.4E-2</v>
      </c>
      <c r="BO16" s="518">
        <v>2.3E-2</v>
      </c>
      <c r="BP16" s="531">
        <v>8.5000000000000006E-2</v>
      </c>
      <c r="BQ16" s="465">
        <v>0</v>
      </c>
      <c r="BR16" s="465">
        <v>0</v>
      </c>
      <c r="BS16" s="465">
        <v>0</v>
      </c>
      <c r="BT16" s="465">
        <v>0</v>
      </c>
      <c r="BU16" s="296" t="s">
        <v>1137</v>
      </c>
      <c r="BV16" s="296" t="s">
        <v>1183</v>
      </c>
      <c r="BW16" s="179" t="s">
        <v>1203</v>
      </c>
      <c r="BX16" s="174" t="s">
        <v>1323</v>
      </c>
      <c r="BY16" s="179" t="s">
        <v>1348</v>
      </c>
      <c r="BZ16" s="179" t="s">
        <v>1367</v>
      </c>
      <c r="CA16" s="179" t="s">
        <v>1429</v>
      </c>
      <c r="CB16" s="332" t="s">
        <v>1445</v>
      </c>
      <c r="CC16" s="333"/>
      <c r="CD16" s="338"/>
      <c r="CE16" s="179"/>
      <c r="CF16" s="179"/>
      <c r="CG16" s="192"/>
      <c r="CH16" s="504">
        <f t="shared" si="9"/>
        <v>-37.5</v>
      </c>
      <c r="CI16" s="176" t="s">
        <v>1413</v>
      </c>
      <c r="CJ16" s="233">
        <v>0</v>
      </c>
      <c r="CK16" s="233">
        <v>0.89</v>
      </c>
      <c r="CL16" s="233">
        <v>0.9</v>
      </c>
      <c r="CM16" s="233">
        <v>0.98</v>
      </c>
      <c r="CN16" s="234">
        <v>0.99</v>
      </c>
      <c r="CO16" s="234">
        <v>1</v>
      </c>
      <c r="CP16" s="227" t="s">
        <v>341</v>
      </c>
      <c r="CQ16" s="223" t="str">
        <f t="shared" si="6"/>
        <v>ESTRATÉGICO</v>
      </c>
      <c r="CR16" s="224">
        <f t="shared" si="7"/>
        <v>2.2505798693608421</v>
      </c>
      <c r="CS16" s="225">
        <f>IFERROR(SUM($BI16:BI16)/SUM($AW16:AW16),0)</f>
        <v>24.705882352941174</v>
      </c>
      <c r="CT16" s="225">
        <f>IFERROR(SUM($BI16:BJ16)/SUM($AW16:AX16),0)</f>
        <v>6.2343324250681205</v>
      </c>
      <c r="CU16" s="225">
        <f>IFERROR(SUM($BI16:BK16)/SUM($AW16:AY16),0)</f>
        <v>5.8004453439340002</v>
      </c>
      <c r="CV16" s="225">
        <f>IFERROR(SUM($BI16:BL16)/SUM($AW16:AZ16),0)</f>
        <v>5.7341450356747217</v>
      </c>
      <c r="CW16" s="225">
        <f>IFERROR(SUM($BI16:BM16)/SUM($AW16:BA16),0)</f>
        <v>4.4760832878921395</v>
      </c>
      <c r="CX16" s="225">
        <f>IFERROR(SUM($BI16:BN16)/SUM($AW16:BB16),0)</f>
        <v>3.7923003533198436</v>
      </c>
      <c r="CY16" s="225">
        <f>IFERROR(SUM($BI16:BO16)/SUM($AW16:BC16),0)</f>
        <v>3.3199150412004315</v>
      </c>
      <c r="CZ16" s="225">
        <f>IFERROR(SUM($BI16:BP16)/SUM($AW16:BD16),0)</f>
        <v>3.2780422672234901</v>
      </c>
      <c r="DA16" s="225">
        <f>IFERROR(SUM($BI16:BQ16)/SUM($AW16:BE16),0)</f>
        <v>2.8831648988522707</v>
      </c>
      <c r="DB16" s="225">
        <f>IFERROR(SUM($BI16:BR16)/SUM($AW16:BF16),0)</f>
        <v>2.5731944446104333</v>
      </c>
      <c r="DC16" s="225">
        <f>IFERROR(SUM($BI16:BS16)/SUM($AW16:BG16),0)</f>
        <v>2.3234041405208834</v>
      </c>
      <c r="DD16" s="225">
        <f>IFERROR(SUM($BI16:BT16)/SUM($AW16:BH16),0)</f>
        <v>2.2505798693608421</v>
      </c>
      <c r="DE16" s="254">
        <f t="shared" si="8"/>
        <v>24.705882352941174</v>
      </c>
      <c r="DF16" s="255">
        <f>IFERROR(SUM($BI16:BJ16)/SUM($AW16:AX16),"0")</f>
        <v>6.2343324250681205</v>
      </c>
      <c r="DG16" s="256">
        <f>IFERROR(SUM($BI16:BK16)/SUM($AW16:AY16),"0")</f>
        <v>5.8004453439340002</v>
      </c>
      <c r="DH16" s="256">
        <f>IFERROR(SUM($BI16:BL16)/SUM($AW16:AZ16),"0")</f>
        <v>5.7341450356747217</v>
      </c>
      <c r="DI16" s="256">
        <f>IFERROR(SUM($BI16:BM16)/SUM($AW16:BA16),"0")</f>
        <v>4.4760832878921395</v>
      </c>
      <c r="DJ16" s="256">
        <f>IFERROR(SUM($BI16:BN16)/SUM($AW16:BB16),"0")</f>
        <v>3.7923003533198436</v>
      </c>
      <c r="DK16" s="256">
        <f>IFERROR(SUM($BI16:BO16)/SUM($AW16:BC16),"0")</f>
        <v>3.3199150412004315</v>
      </c>
      <c r="DL16" s="256">
        <f>IFERROR(SUM($BI16:BP16)/SUM($AW16:BD16),"0")</f>
        <v>3.2780422672234901</v>
      </c>
      <c r="DM16" s="256">
        <f>IFERROR(SUM($BI16:BQ16)/SUM($AW16:BE16),"0")</f>
        <v>2.8831648988522707</v>
      </c>
      <c r="DN16" s="256">
        <f>IFERROR(SUM($BI16:BR16)/SUM($AW16:BF16),"0")</f>
        <v>2.5731944446104333</v>
      </c>
      <c r="DO16" s="256">
        <f>IFERROR(SUM($BI16:BS16)/SUM($AW16:BG16),"0")</f>
        <v>2.3234041405208834</v>
      </c>
      <c r="DP16" s="257">
        <f>IFERROR(SUM($BI16:BT16)/SUM($AW16:BH16),"0")</f>
        <v>2.2505798693608421</v>
      </c>
    </row>
    <row r="17" spans="1:120" s="226" customFormat="1" ht="39" customHeight="1" x14ac:dyDescent="0.25">
      <c r="A17" s="182" t="s">
        <v>342</v>
      </c>
      <c r="B17" s="188" t="s">
        <v>317</v>
      </c>
      <c r="C17" s="176" t="s">
        <v>343</v>
      </c>
      <c r="D17" s="346" t="s">
        <v>319</v>
      </c>
      <c r="E17" s="188" t="s">
        <v>177</v>
      </c>
      <c r="F17" s="303" t="s">
        <v>344</v>
      </c>
      <c r="G17" s="161" t="s">
        <v>317</v>
      </c>
      <c r="H17" s="176" t="s">
        <v>345</v>
      </c>
      <c r="I17" s="164" t="s">
        <v>180</v>
      </c>
      <c r="J17" s="164" t="s">
        <v>322</v>
      </c>
      <c r="K17" s="176" t="s">
        <v>181</v>
      </c>
      <c r="L17" s="164" t="s">
        <v>182</v>
      </c>
      <c r="M17" s="176" t="s">
        <v>183</v>
      </c>
      <c r="N17" s="176"/>
      <c r="O17" s="176"/>
      <c r="P17" s="176" t="s">
        <v>346</v>
      </c>
      <c r="Q17" s="176" t="s">
        <v>347</v>
      </c>
      <c r="R17" s="176" t="s">
        <v>348</v>
      </c>
      <c r="S17" s="176" t="s">
        <v>349</v>
      </c>
      <c r="T17" s="176" t="s">
        <v>350</v>
      </c>
      <c r="U17" s="176" t="s">
        <v>351</v>
      </c>
      <c r="V17" s="176" t="s">
        <v>327</v>
      </c>
      <c r="W17" s="176" t="s">
        <v>340</v>
      </c>
      <c r="X17" s="190">
        <f t="shared" si="0"/>
        <v>100</v>
      </c>
      <c r="Y17" s="176" t="s">
        <v>233</v>
      </c>
      <c r="Z17" s="166" t="s">
        <v>193</v>
      </c>
      <c r="AA17" s="176" t="s">
        <v>216</v>
      </c>
      <c r="AB17" s="176" t="s">
        <v>217</v>
      </c>
      <c r="AC17" s="164" t="s">
        <v>330</v>
      </c>
      <c r="AD17" s="164" t="s">
        <v>330</v>
      </c>
      <c r="AE17" s="164" t="s">
        <v>331</v>
      </c>
      <c r="AF17" s="176">
        <v>0</v>
      </c>
      <c r="AG17" s="191">
        <v>100</v>
      </c>
      <c r="AH17" s="428">
        <v>100</v>
      </c>
      <c r="AI17" s="305">
        <v>100</v>
      </c>
      <c r="AJ17" s="191">
        <v>100</v>
      </c>
      <c r="AK17" s="191">
        <v>100</v>
      </c>
      <c r="AL17" s="191">
        <v>0</v>
      </c>
      <c r="AM17" s="171">
        <v>100</v>
      </c>
      <c r="AN17" s="431">
        <v>100</v>
      </c>
      <c r="AO17" s="432">
        <v>100</v>
      </c>
      <c r="AP17" s="512">
        <v>100</v>
      </c>
      <c r="AQ17" s="191">
        <v>0</v>
      </c>
      <c r="AR17" s="221" t="str">
        <f t="shared" si="1"/>
        <v>0</v>
      </c>
      <c r="AS17" s="221">
        <f t="shared" si="2"/>
        <v>1</v>
      </c>
      <c r="AT17" s="221">
        <f t="shared" si="3"/>
        <v>1</v>
      </c>
      <c r="AU17" s="221">
        <f t="shared" si="4"/>
        <v>1</v>
      </c>
      <c r="AV17" s="221">
        <f t="shared" si="5"/>
        <v>0</v>
      </c>
      <c r="AW17" s="468">
        <v>1</v>
      </c>
      <c r="AX17" s="469">
        <v>1</v>
      </c>
      <c r="AY17" s="469">
        <v>1</v>
      </c>
      <c r="AZ17" s="469">
        <v>1</v>
      </c>
      <c r="BA17" s="469">
        <v>1</v>
      </c>
      <c r="BB17" s="469">
        <v>1</v>
      </c>
      <c r="BC17" s="469">
        <v>1</v>
      </c>
      <c r="BD17" s="469">
        <v>1</v>
      </c>
      <c r="BE17" s="469">
        <v>1</v>
      </c>
      <c r="BF17" s="469">
        <v>1</v>
      </c>
      <c r="BG17" s="469">
        <v>1</v>
      </c>
      <c r="BH17" s="469">
        <v>1</v>
      </c>
      <c r="BI17" s="469">
        <v>1</v>
      </c>
      <c r="BJ17" s="469">
        <v>1</v>
      </c>
      <c r="BK17" s="469">
        <v>1</v>
      </c>
      <c r="BL17" s="469">
        <v>1</v>
      </c>
      <c r="BM17" s="469">
        <v>1</v>
      </c>
      <c r="BN17" s="519">
        <v>1</v>
      </c>
      <c r="BO17" s="519">
        <v>1</v>
      </c>
      <c r="BP17" s="469">
        <v>1</v>
      </c>
      <c r="BQ17" s="469">
        <v>0</v>
      </c>
      <c r="BR17" s="469">
        <v>0</v>
      </c>
      <c r="BS17" s="469">
        <v>0</v>
      </c>
      <c r="BT17" s="469">
        <v>0</v>
      </c>
      <c r="BU17" s="296" t="s">
        <v>1138</v>
      </c>
      <c r="BV17" s="296" t="s">
        <v>1184</v>
      </c>
      <c r="BW17" s="179" t="s">
        <v>1204</v>
      </c>
      <c r="BX17" s="174" t="s">
        <v>1324</v>
      </c>
      <c r="BY17" s="179" t="s">
        <v>1349</v>
      </c>
      <c r="BZ17" s="179" t="s">
        <v>1368</v>
      </c>
      <c r="CA17" s="179" t="s">
        <v>1430</v>
      </c>
      <c r="CB17" s="179" t="s">
        <v>1446</v>
      </c>
      <c r="CC17" s="179"/>
      <c r="CD17" s="376"/>
      <c r="CE17" s="179"/>
      <c r="CF17" s="179"/>
      <c r="CG17" s="192"/>
      <c r="CH17" s="504">
        <f t="shared" si="9"/>
        <v>0</v>
      </c>
      <c r="CI17" s="176" t="s">
        <v>1413</v>
      </c>
      <c r="CJ17" s="233">
        <v>0</v>
      </c>
      <c r="CK17" s="233">
        <v>0.89</v>
      </c>
      <c r="CL17" s="233">
        <v>0.9</v>
      </c>
      <c r="CM17" s="233">
        <v>1</v>
      </c>
      <c r="CN17" s="234">
        <v>1.01</v>
      </c>
      <c r="CO17" s="234">
        <v>1.5</v>
      </c>
      <c r="CP17" s="227" t="s">
        <v>341</v>
      </c>
      <c r="CQ17" s="223" t="str">
        <f t="shared" si="6"/>
        <v>TÁCTICO</v>
      </c>
      <c r="CR17" s="224">
        <f t="shared" si="7"/>
        <v>0.66666666666666663</v>
      </c>
      <c r="CS17" s="225">
        <f>IFERROR(SUM($BI17:BI17)/SUM($AW17:AW17),0)</f>
        <v>1</v>
      </c>
      <c r="CT17" s="225">
        <f>IFERROR(SUM($BI17:BJ17)/SUM($AW17:AX17),0)</f>
        <v>1</v>
      </c>
      <c r="CU17" s="225">
        <f>IFERROR(SUM($BI17:BK17)/SUM($AW17:AY17),0)</f>
        <v>1</v>
      </c>
      <c r="CV17" s="225">
        <f>IFERROR(SUM($BI17:BL17)/SUM($AW17:AZ17),0)</f>
        <v>1</v>
      </c>
      <c r="CW17" s="225">
        <f>IFERROR(SUM($BI17:BM17)/SUM($AW17:BA17),0)</f>
        <v>1</v>
      </c>
      <c r="CX17" s="225">
        <f>IFERROR(SUM($BI17:BN17)/SUM($AW17:BB17),0)</f>
        <v>1</v>
      </c>
      <c r="CY17" s="225">
        <f>IFERROR(SUM($BI17:BO17)/SUM($AW17:BC17),0)</f>
        <v>1</v>
      </c>
      <c r="CZ17" s="225">
        <f>IFERROR(SUM($BI17:BP17)/SUM($AW17:BD17),0)</f>
        <v>1</v>
      </c>
      <c r="DA17" s="225">
        <f>IFERROR(SUM($BI17:BQ17)/SUM($AW17:BE17),0)</f>
        <v>0.88888888888888884</v>
      </c>
      <c r="DB17" s="225">
        <f>IFERROR(SUM($BI17:BR17)/SUM($AW17:BF17),0)</f>
        <v>0.8</v>
      </c>
      <c r="DC17" s="225">
        <f>IFERROR(SUM($BI17:BS17)/SUM($AW17:BG17),0)</f>
        <v>0.72727272727272729</v>
      </c>
      <c r="DD17" s="225">
        <f>IFERROR(SUM($BI17:BT17)/SUM($AW17:BH17),0)</f>
        <v>0.66666666666666663</v>
      </c>
      <c r="DE17" s="250">
        <f t="shared" si="8"/>
        <v>1</v>
      </c>
      <c r="DF17" s="251">
        <f>IFERROR(SUM($BI17:BJ17)/SUM($AW17:AX17),"0")</f>
        <v>1</v>
      </c>
      <c r="DG17" s="252">
        <f>IFERROR(SUM($BI17:BK17)/SUM($AW17:AY17),"0")</f>
        <v>1</v>
      </c>
      <c r="DH17" s="252">
        <f>IFERROR(SUM($BI17:BL17)/SUM($AW17:AZ17),"0")</f>
        <v>1</v>
      </c>
      <c r="DI17" s="252">
        <f>IFERROR(SUM($BI17:BM17)/SUM($AW17:BA17),"0")</f>
        <v>1</v>
      </c>
      <c r="DJ17" s="252">
        <f>IFERROR(SUM($BI17:BN17)/SUM($AW17:BB17),"0")</f>
        <v>1</v>
      </c>
      <c r="DK17" s="252">
        <f>IFERROR(SUM($BI17:BO17)/SUM($AW17:BC17),"0")</f>
        <v>1</v>
      </c>
      <c r="DL17" s="252">
        <f>IFERROR(SUM($BI17:BP17)/SUM($AW17:BD17),"0")</f>
        <v>1</v>
      </c>
      <c r="DM17" s="252">
        <f>IFERROR(SUM($BI17:BQ17)/SUM($AW17:BE17),"0")</f>
        <v>0.88888888888888884</v>
      </c>
      <c r="DN17" s="252">
        <f>IFERROR(SUM($BI17:BR17)/SUM($AW17:BF17),"0")</f>
        <v>0.8</v>
      </c>
      <c r="DO17" s="252">
        <f>IFERROR(SUM($BI17:BS17)/SUM($AW17:BG17),"0")</f>
        <v>0.72727272727272729</v>
      </c>
      <c r="DP17" s="253">
        <f>IFERROR(SUM($BI17:BT17)/SUM($AW17:BH17),"0")</f>
        <v>0.66666666666666663</v>
      </c>
    </row>
    <row r="18" spans="1:120" s="226" customFormat="1" ht="39" customHeight="1" x14ac:dyDescent="0.25">
      <c r="A18" s="177" t="s">
        <v>352</v>
      </c>
      <c r="B18" s="188" t="s">
        <v>353</v>
      </c>
      <c r="C18" s="161" t="s">
        <v>354</v>
      </c>
      <c r="D18" s="345" t="s">
        <v>176</v>
      </c>
      <c r="E18" s="161" t="s">
        <v>177</v>
      </c>
      <c r="F18" s="303" t="s">
        <v>355</v>
      </c>
      <c r="G18" s="161" t="s">
        <v>353</v>
      </c>
      <c r="H18" s="176" t="s">
        <v>356</v>
      </c>
      <c r="I18" s="164" t="s">
        <v>357</v>
      </c>
      <c r="J18" s="176" t="s">
        <v>358</v>
      </c>
      <c r="K18" s="176" t="s">
        <v>181</v>
      </c>
      <c r="L18" s="176" t="s">
        <v>182</v>
      </c>
      <c r="M18" s="176" t="s">
        <v>183</v>
      </c>
      <c r="N18" s="176"/>
      <c r="O18" s="176"/>
      <c r="P18" s="176" t="s">
        <v>359</v>
      </c>
      <c r="Q18" s="176" t="s">
        <v>208</v>
      </c>
      <c r="R18" s="176" t="s">
        <v>360</v>
      </c>
      <c r="S18" s="176" t="s">
        <v>361</v>
      </c>
      <c r="T18" s="176" t="s">
        <v>362</v>
      </c>
      <c r="U18" s="176" t="s">
        <v>363</v>
      </c>
      <c r="V18" s="176" t="s">
        <v>364</v>
      </c>
      <c r="W18" s="176" t="s">
        <v>365</v>
      </c>
      <c r="X18" s="190">
        <f t="shared" si="0"/>
        <v>100</v>
      </c>
      <c r="Y18" s="176" t="s">
        <v>366</v>
      </c>
      <c r="Z18" s="166" t="s">
        <v>193</v>
      </c>
      <c r="AA18" s="176" t="s">
        <v>216</v>
      </c>
      <c r="AB18" s="176" t="s">
        <v>217</v>
      </c>
      <c r="AC18" s="176" t="s">
        <v>367</v>
      </c>
      <c r="AD18" s="164" t="s">
        <v>368</v>
      </c>
      <c r="AE18" s="176" t="s">
        <v>369</v>
      </c>
      <c r="AF18" s="176">
        <v>100</v>
      </c>
      <c r="AG18" s="191">
        <v>100</v>
      </c>
      <c r="AH18" s="428">
        <v>100</v>
      </c>
      <c r="AI18" s="305">
        <v>100</v>
      </c>
      <c r="AJ18" s="191">
        <v>100</v>
      </c>
      <c r="AK18" s="191">
        <v>100</v>
      </c>
      <c r="AL18" s="191">
        <v>100</v>
      </c>
      <c r="AM18" s="171">
        <v>100</v>
      </c>
      <c r="AN18" s="431">
        <v>100</v>
      </c>
      <c r="AO18" s="432">
        <v>100</v>
      </c>
      <c r="AP18" s="512">
        <v>100</v>
      </c>
      <c r="AQ18" s="191">
        <v>0</v>
      </c>
      <c r="AR18" s="123">
        <f t="shared" si="1"/>
        <v>1</v>
      </c>
      <c r="AS18" s="123">
        <f t="shared" si="2"/>
        <v>1</v>
      </c>
      <c r="AT18" s="123">
        <f t="shared" si="3"/>
        <v>1</v>
      </c>
      <c r="AU18" s="123">
        <f t="shared" si="4"/>
        <v>1</v>
      </c>
      <c r="AV18" s="123">
        <f t="shared" si="5"/>
        <v>0</v>
      </c>
      <c r="AW18" s="463">
        <v>1</v>
      </c>
      <c r="AX18" s="463">
        <v>1</v>
      </c>
      <c r="AY18" s="463">
        <v>1</v>
      </c>
      <c r="AZ18" s="463">
        <v>1</v>
      </c>
      <c r="BA18" s="463">
        <v>1</v>
      </c>
      <c r="BB18" s="463">
        <v>1</v>
      </c>
      <c r="BC18" s="463">
        <v>1</v>
      </c>
      <c r="BD18" s="463">
        <v>1</v>
      </c>
      <c r="BE18" s="463">
        <v>1</v>
      </c>
      <c r="BF18" s="463">
        <v>1</v>
      </c>
      <c r="BG18" s="463">
        <v>1</v>
      </c>
      <c r="BH18" s="463">
        <v>1</v>
      </c>
      <c r="BI18" s="464">
        <v>1</v>
      </c>
      <c r="BJ18" s="469">
        <v>1</v>
      </c>
      <c r="BK18" s="469">
        <v>1</v>
      </c>
      <c r="BL18" s="469">
        <v>1</v>
      </c>
      <c r="BM18" s="469">
        <v>1</v>
      </c>
      <c r="BN18" s="519">
        <v>1</v>
      </c>
      <c r="BO18" s="519">
        <v>1</v>
      </c>
      <c r="BP18" s="464">
        <v>1</v>
      </c>
      <c r="BQ18" s="464">
        <v>0</v>
      </c>
      <c r="BR18" s="464">
        <v>0</v>
      </c>
      <c r="BS18" s="464">
        <v>0</v>
      </c>
      <c r="BT18" s="464">
        <v>0</v>
      </c>
      <c r="BU18" s="179" t="s">
        <v>1132</v>
      </c>
      <c r="BV18" s="179" t="s">
        <v>1221</v>
      </c>
      <c r="BW18" s="179" t="s">
        <v>1205</v>
      </c>
      <c r="BX18" s="174" t="s">
        <v>1335</v>
      </c>
      <c r="BY18" s="179" t="s">
        <v>1350</v>
      </c>
      <c r="BZ18" s="179" t="s">
        <v>1369</v>
      </c>
      <c r="CA18" s="179" t="s">
        <v>1431</v>
      </c>
      <c r="CB18" s="179" t="s">
        <v>1447</v>
      </c>
      <c r="CC18" s="179"/>
      <c r="CD18" s="179"/>
      <c r="CE18" s="179"/>
      <c r="CF18" s="179"/>
      <c r="CG18" s="92"/>
      <c r="CH18" s="504">
        <f t="shared" si="9"/>
        <v>0</v>
      </c>
      <c r="CI18" s="74" t="s">
        <v>1413</v>
      </c>
      <c r="CJ18" s="74">
        <v>0</v>
      </c>
      <c r="CK18" s="74">
        <v>50</v>
      </c>
      <c r="CL18" s="74">
        <v>51</v>
      </c>
      <c r="CM18" s="74">
        <v>98</v>
      </c>
      <c r="CN18" s="74">
        <v>99</v>
      </c>
      <c r="CO18" s="74">
        <v>100</v>
      </c>
      <c r="CP18" s="213"/>
      <c r="CQ18" s="208" t="str">
        <f t="shared" si="6"/>
        <v>ESTRATÉGICO</v>
      </c>
      <c r="CR18" s="215">
        <f t="shared" si="7"/>
        <v>0.66666666666666663</v>
      </c>
      <c r="CS18" s="216">
        <f>IFERROR(SUM($BI18:BI18)/SUM($AW18:AW18),0)</f>
        <v>1</v>
      </c>
      <c r="CT18" s="216">
        <f>IFERROR(SUM($BI18:BJ18)/SUM($AW18:AX18),0)</f>
        <v>1</v>
      </c>
      <c r="CU18" s="216">
        <f>IFERROR(SUM($BI18:BK18)/SUM($AW18:AY18),0)</f>
        <v>1</v>
      </c>
      <c r="CV18" s="216">
        <f>IFERROR(SUM($BI18:BL18)/SUM($AW18:AZ18),0)</f>
        <v>1</v>
      </c>
      <c r="CW18" s="216">
        <f>IFERROR(SUM($BI18:BM18)/SUM($AW18:BA18),0)</f>
        <v>1</v>
      </c>
      <c r="CX18" s="216">
        <f>IFERROR(SUM($BI18:BN18)/SUM($AW18:BB18),0)</f>
        <v>1</v>
      </c>
      <c r="CY18" s="216">
        <f>IFERROR(SUM($BI18:BO18)/SUM($AW18:BC18),0)</f>
        <v>1</v>
      </c>
      <c r="CZ18" s="216">
        <f>IFERROR(SUM($BI18:BP18)/SUM($AW18:BD18),0)</f>
        <v>1</v>
      </c>
      <c r="DA18" s="216">
        <f>IFERROR(SUM($BI18:BQ18)/SUM($AW18:BE18),0)</f>
        <v>0.88888888888888884</v>
      </c>
      <c r="DB18" s="216">
        <f>IFERROR(SUM($BI18:BR18)/SUM($AW18:BF18),0)</f>
        <v>0.8</v>
      </c>
      <c r="DC18" s="216">
        <f>IFERROR(SUM($BI18:BS18)/SUM($AW18:BG18),0)</f>
        <v>0.72727272727272729</v>
      </c>
      <c r="DD18" s="216">
        <f>IFERROR(SUM($BI18:BT18)/SUM($AW18:BH18),0)</f>
        <v>0.66666666666666663</v>
      </c>
      <c r="DE18" s="250">
        <f t="shared" si="8"/>
        <v>1</v>
      </c>
      <c r="DF18" s="251">
        <f>IFERROR(SUM($BI18:BJ18)/SUM($AW18:AX18),"0")</f>
        <v>1</v>
      </c>
      <c r="DG18" s="252">
        <f>IFERROR(SUM($BI18:BK18)/SUM($AW18:AY18),"0")</f>
        <v>1</v>
      </c>
      <c r="DH18" s="252">
        <f>IFERROR(SUM($BI18:BL18)/SUM($AW18:AZ18),"0")</f>
        <v>1</v>
      </c>
      <c r="DI18" s="252">
        <f>IFERROR(SUM($BI18:BM18)/SUM($AW18:BA18),"0")</f>
        <v>1</v>
      </c>
      <c r="DJ18" s="252">
        <f>IFERROR(SUM($BI18:BN18)/SUM($AW18:BB18),"0")</f>
        <v>1</v>
      </c>
      <c r="DK18" s="252">
        <f>IFERROR(SUM($BI18:BO18)/SUM($AW18:BC18),"0")</f>
        <v>1</v>
      </c>
      <c r="DL18" s="252">
        <f>IFERROR(SUM($BI18:BP18)/SUM($AW18:BD18),"0")</f>
        <v>1</v>
      </c>
      <c r="DM18" s="252">
        <f>IFERROR(SUM($BI18:BQ18)/SUM($AW18:BE18),"0")</f>
        <v>0.88888888888888884</v>
      </c>
      <c r="DN18" s="252">
        <f>IFERROR(SUM($BI18:BR18)/SUM($AW18:BF18),"0")</f>
        <v>0.8</v>
      </c>
      <c r="DO18" s="252">
        <f>IFERROR(SUM($BI18:BS18)/SUM($AW18:BG18),"0")</f>
        <v>0.72727272727272729</v>
      </c>
      <c r="DP18" s="253">
        <f>IFERROR(SUM($BI18:BT18)/SUM($AW18:BH18),"0")</f>
        <v>0.66666666666666663</v>
      </c>
    </row>
    <row r="19" spans="1:120" s="226" customFormat="1" ht="39" customHeight="1" x14ac:dyDescent="0.25">
      <c r="A19" s="177" t="s">
        <v>370</v>
      </c>
      <c r="B19" s="188" t="s">
        <v>353</v>
      </c>
      <c r="C19" s="161" t="s">
        <v>371</v>
      </c>
      <c r="D19" s="345" t="s">
        <v>319</v>
      </c>
      <c r="E19" s="161" t="s">
        <v>177</v>
      </c>
      <c r="F19" s="303" t="s">
        <v>4</v>
      </c>
      <c r="G19" s="161" t="s">
        <v>353</v>
      </c>
      <c r="H19" s="176" t="s">
        <v>372</v>
      </c>
      <c r="I19" s="164" t="s">
        <v>357</v>
      </c>
      <c r="J19" s="176" t="s">
        <v>358</v>
      </c>
      <c r="K19" s="176" t="s">
        <v>181</v>
      </c>
      <c r="L19" s="176" t="s">
        <v>183</v>
      </c>
      <c r="M19" s="176"/>
      <c r="N19" s="176"/>
      <c r="O19" s="176"/>
      <c r="P19" s="176" t="s">
        <v>373</v>
      </c>
      <c r="Q19" s="176" t="s">
        <v>374</v>
      </c>
      <c r="R19" s="176" t="s">
        <v>373</v>
      </c>
      <c r="S19" s="176" t="s">
        <v>233</v>
      </c>
      <c r="T19" s="176" t="s">
        <v>375</v>
      </c>
      <c r="U19" s="176" t="s">
        <v>233</v>
      </c>
      <c r="V19" s="176" t="s">
        <v>376</v>
      </c>
      <c r="W19" s="176" t="s">
        <v>233</v>
      </c>
      <c r="X19" s="190">
        <f t="shared" si="0"/>
        <v>4</v>
      </c>
      <c r="Y19" s="176">
        <v>0</v>
      </c>
      <c r="Z19" s="166" t="s">
        <v>193</v>
      </c>
      <c r="AA19" s="176" t="s">
        <v>216</v>
      </c>
      <c r="AB19" s="176" t="s">
        <v>217</v>
      </c>
      <c r="AC19" s="176" t="s">
        <v>377</v>
      </c>
      <c r="AD19" s="164" t="s">
        <v>368</v>
      </c>
      <c r="AE19" s="176" t="s">
        <v>369</v>
      </c>
      <c r="AF19" s="176">
        <v>4</v>
      </c>
      <c r="AG19" s="191">
        <v>4</v>
      </c>
      <c r="AH19" s="428">
        <v>4</v>
      </c>
      <c r="AI19" s="305">
        <v>100</v>
      </c>
      <c r="AJ19" s="191">
        <v>4</v>
      </c>
      <c r="AK19" s="191">
        <v>4</v>
      </c>
      <c r="AL19" s="191">
        <v>4</v>
      </c>
      <c r="AM19" s="171">
        <v>4</v>
      </c>
      <c r="AN19" s="428">
        <v>4</v>
      </c>
      <c r="AO19" s="432">
        <v>100</v>
      </c>
      <c r="AP19" s="512">
        <v>4</v>
      </c>
      <c r="AQ19" s="191">
        <v>0</v>
      </c>
      <c r="AR19" s="123">
        <f t="shared" si="1"/>
        <v>1</v>
      </c>
      <c r="AS19" s="123">
        <f t="shared" si="2"/>
        <v>1</v>
      </c>
      <c r="AT19" s="123">
        <f t="shared" si="3"/>
        <v>1</v>
      </c>
      <c r="AU19" s="123">
        <f t="shared" si="4"/>
        <v>1</v>
      </c>
      <c r="AV19" s="123">
        <f t="shared" si="5"/>
        <v>0</v>
      </c>
      <c r="AW19" s="467">
        <v>4</v>
      </c>
      <c r="AX19" s="467">
        <v>4</v>
      </c>
      <c r="AY19" s="467">
        <v>4</v>
      </c>
      <c r="AZ19" s="467">
        <v>4</v>
      </c>
      <c r="BA19" s="467">
        <v>4</v>
      </c>
      <c r="BB19" s="467">
        <v>4</v>
      </c>
      <c r="BC19" s="467">
        <v>4</v>
      </c>
      <c r="BD19" s="467">
        <v>4</v>
      </c>
      <c r="BE19" s="467">
        <v>4</v>
      </c>
      <c r="BF19" s="467">
        <v>4</v>
      </c>
      <c r="BG19" s="467">
        <v>4</v>
      </c>
      <c r="BH19" s="467">
        <v>4</v>
      </c>
      <c r="BI19" s="467">
        <v>4</v>
      </c>
      <c r="BJ19" s="467">
        <v>4</v>
      </c>
      <c r="BK19" s="467">
        <v>4</v>
      </c>
      <c r="BL19" s="467">
        <v>4</v>
      </c>
      <c r="BM19" s="467">
        <v>4</v>
      </c>
      <c r="BN19" s="517">
        <v>4</v>
      </c>
      <c r="BO19" s="517">
        <v>4</v>
      </c>
      <c r="BP19" s="467">
        <v>4</v>
      </c>
      <c r="BQ19" s="467">
        <v>0</v>
      </c>
      <c r="BR19" s="467">
        <v>0</v>
      </c>
      <c r="BS19" s="467">
        <v>0</v>
      </c>
      <c r="BT19" s="467">
        <v>0</v>
      </c>
      <c r="BU19" s="179" t="s">
        <v>1139</v>
      </c>
      <c r="BV19" s="350" t="s">
        <v>1185</v>
      </c>
      <c r="BW19" s="179" t="s">
        <v>1206</v>
      </c>
      <c r="BX19" s="174" t="s">
        <v>1336</v>
      </c>
      <c r="BY19" s="179" t="s">
        <v>1351</v>
      </c>
      <c r="BZ19" s="179" t="s">
        <v>1370</v>
      </c>
      <c r="CA19" s="179" t="s">
        <v>1432</v>
      </c>
      <c r="CB19" s="179" t="s">
        <v>1448</v>
      </c>
      <c r="CC19" s="179"/>
      <c r="CD19" s="179"/>
      <c r="CE19" s="179"/>
      <c r="CF19" s="179"/>
      <c r="CG19" s="92"/>
      <c r="CH19" s="504">
        <f t="shared" si="9"/>
        <v>0</v>
      </c>
      <c r="CI19" s="74" t="s">
        <v>1413</v>
      </c>
      <c r="CJ19" s="74"/>
      <c r="CK19" s="74"/>
      <c r="CL19" s="74"/>
      <c r="CM19" s="74"/>
      <c r="CN19" s="74"/>
      <c r="CO19" s="74"/>
      <c r="CP19" s="213"/>
      <c r="CQ19" s="208" t="str">
        <f t="shared" si="6"/>
        <v>TÁCTICO</v>
      </c>
      <c r="CR19" s="215">
        <f t="shared" si="7"/>
        <v>0.66666666666666663</v>
      </c>
      <c r="CS19" s="216">
        <f>IFERROR(SUM($BI19:BI19)/SUM($AW19:AW19),0)</f>
        <v>1</v>
      </c>
      <c r="CT19" s="216">
        <f>IFERROR(SUM($BI19:BJ19)/SUM($AW19:AX19),0)</f>
        <v>1</v>
      </c>
      <c r="CU19" s="216">
        <f>IFERROR(SUM($BI19:BK19)/SUM($AW19:AY19),0)</f>
        <v>1</v>
      </c>
      <c r="CV19" s="216">
        <f>IFERROR(SUM($BI19:BL19)/SUM($AW19:AZ19),0)</f>
        <v>1</v>
      </c>
      <c r="CW19" s="216">
        <f>IFERROR(SUM($BI19:BM19)/SUM($AW19:BA19),0)</f>
        <v>1</v>
      </c>
      <c r="CX19" s="216">
        <f>IFERROR(SUM($BI19:BN19)/SUM($AW19:BB19),0)</f>
        <v>1</v>
      </c>
      <c r="CY19" s="216">
        <f>IFERROR(SUM($BI19:BO19)/SUM($AW19:BC19),0)</f>
        <v>1</v>
      </c>
      <c r="CZ19" s="216">
        <f>IFERROR(SUM($BI19:BP19)/SUM($AW19:BD19),0)</f>
        <v>1</v>
      </c>
      <c r="DA19" s="216">
        <f>IFERROR(SUM($BI19:BQ19)/SUM($AW19:BE19),0)</f>
        <v>0.88888888888888884</v>
      </c>
      <c r="DB19" s="216">
        <f>IFERROR(SUM($BI19:BR19)/SUM($AW19:BF19),0)</f>
        <v>0.8</v>
      </c>
      <c r="DC19" s="216">
        <f>IFERROR(SUM($BI19:BS19)/SUM($AW19:BG19),0)</f>
        <v>0.72727272727272729</v>
      </c>
      <c r="DD19" s="216">
        <f>IFERROR(SUM($BI19:BT19)/SUM($AW19:BH19),0)</f>
        <v>0.66666666666666663</v>
      </c>
      <c r="DE19" s="250">
        <f t="shared" si="8"/>
        <v>1</v>
      </c>
      <c r="DF19" s="251">
        <f>IFERROR(SUM($BI19:BJ19)/SUM($AW19:AX19),"0")</f>
        <v>1</v>
      </c>
      <c r="DG19" s="252">
        <f>IFERROR(SUM($BI19:BK19)/SUM($AW19:AY19),"0")</f>
        <v>1</v>
      </c>
      <c r="DH19" s="252">
        <f>IFERROR(SUM($BI19:BL19)/SUM($AW19:AZ19),"0")</f>
        <v>1</v>
      </c>
      <c r="DI19" s="252">
        <f>IFERROR(SUM($BI19:BM19)/SUM($AW19:BA19),"0")</f>
        <v>1</v>
      </c>
      <c r="DJ19" s="252">
        <f>IFERROR(SUM($BI19:BN19)/SUM($AW19:BB19),"0")</f>
        <v>1</v>
      </c>
      <c r="DK19" s="252">
        <f>IFERROR(SUM($BI19:BO19)/SUM($AW19:BC19),"0")</f>
        <v>1</v>
      </c>
      <c r="DL19" s="252">
        <f>IFERROR(SUM($BI19:BP19)/SUM($AW19:BD19),"0")</f>
        <v>1</v>
      </c>
      <c r="DM19" s="252">
        <f>IFERROR(SUM($BI19:BQ19)/SUM($AW19:BE19),"0")</f>
        <v>0.88888888888888884</v>
      </c>
      <c r="DN19" s="252">
        <f>IFERROR(SUM($BI19:BR19)/SUM($AW19:BF19),"0")</f>
        <v>0.8</v>
      </c>
      <c r="DO19" s="252">
        <f>IFERROR(SUM($BI19:BS19)/SUM($AW19:BG19),"0")</f>
        <v>0.72727272727272729</v>
      </c>
      <c r="DP19" s="253">
        <f>IFERROR(SUM($BI19:BT19)/SUM($AW19:BH19),"0")</f>
        <v>0.66666666666666663</v>
      </c>
    </row>
    <row r="20" spans="1:120" s="226" customFormat="1" ht="39" customHeight="1" x14ac:dyDescent="0.25">
      <c r="A20" s="177" t="s">
        <v>378</v>
      </c>
      <c r="B20" s="188" t="s">
        <v>353</v>
      </c>
      <c r="C20" s="161" t="s">
        <v>379</v>
      </c>
      <c r="D20" s="345" t="s">
        <v>319</v>
      </c>
      <c r="E20" s="161" t="s">
        <v>177</v>
      </c>
      <c r="F20" s="293" t="s">
        <v>380</v>
      </c>
      <c r="G20" s="161" t="s">
        <v>353</v>
      </c>
      <c r="H20" s="176" t="s">
        <v>381</v>
      </c>
      <c r="I20" s="164" t="s">
        <v>357</v>
      </c>
      <c r="J20" s="176" t="s">
        <v>358</v>
      </c>
      <c r="K20" s="176" t="s">
        <v>181</v>
      </c>
      <c r="L20" s="176" t="s">
        <v>183</v>
      </c>
      <c r="M20" s="176"/>
      <c r="N20" s="176"/>
      <c r="O20" s="176"/>
      <c r="P20" s="176" t="s">
        <v>382</v>
      </c>
      <c r="Q20" s="176" t="s">
        <v>383</v>
      </c>
      <c r="R20" s="176" t="s">
        <v>382</v>
      </c>
      <c r="S20" s="176" t="s">
        <v>233</v>
      </c>
      <c r="T20" s="176" t="s">
        <v>384</v>
      </c>
      <c r="U20" s="176" t="s">
        <v>233</v>
      </c>
      <c r="V20" s="176" t="s">
        <v>376</v>
      </c>
      <c r="W20" s="176" t="s">
        <v>233</v>
      </c>
      <c r="X20" s="190">
        <f t="shared" si="0"/>
        <v>3</v>
      </c>
      <c r="Y20" s="176">
        <v>0</v>
      </c>
      <c r="Z20" s="166" t="s">
        <v>215</v>
      </c>
      <c r="AA20" s="176" t="s">
        <v>216</v>
      </c>
      <c r="AB20" s="176" t="s">
        <v>217</v>
      </c>
      <c r="AC20" s="176" t="s">
        <v>377</v>
      </c>
      <c r="AD20" s="164" t="s">
        <v>368</v>
      </c>
      <c r="AE20" s="176" t="s">
        <v>369</v>
      </c>
      <c r="AF20" s="176">
        <v>1</v>
      </c>
      <c r="AG20" s="191">
        <v>3</v>
      </c>
      <c r="AH20" s="428">
        <v>3</v>
      </c>
      <c r="AI20" s="305">
        <v>100</v>
      </c>
      <c r="AJ20" s="191">
        <v>2</v>
      </c>
      <c r="AK20" s="191">
        <v>1</v>
      </c>
      <c r="AL20" s="191">
        <v>1</v>
      </c>
      <c r="AM20" s="171">
        <v>3</v>
      </c>
      <c r="AN20" s="428">
        <v>3</v>
      </c>
      <c r="AO20" s="432">
        <v>100</v>
      </c>
      <c r="AP20" s="511">
        <v>1.33</v>
      </c>
      <c r="AQ20" s="191">
        <v>0</v>
      </c>
      <c r="AR20" s="123">
        <f t="shared" si="1"/>
        <v>1</v>
      </c>
      <c r="AS20" s="123">
        <f t="shared" si="2"/>
        <v>1</v>
      </c>
      <c r="AT20" s="123">
        <f t="shared" si="3"/>
        <v>1</v>
      </c>
      <c r="AU20" s="123">
        <f t="shared" si="4"/>
        <v>0.66500000000000004</v>
      </c>
      <c r="AV20" s="123">
        <f t="shared" si="5"/>
        <v>0</v>
      </c>
      <c r="AW20" s="496">
        <v>0.16666666666666699</v>
      </c>
      <c r="AX20" s="496">
        <v>0.16666666666666699</v>
      </c>
      <c r="AY20" s="496">
        <v>0.16666666666666699</v>
      </c>
      <c r="AZ20" s="496">
        <v>0.16666666666666699</v>
      </c>
      <c r="BA20" s="496">
        <v>0.16666666666666699</v>
      </c>
      <c r="BB20" s="496">
        <v>0.16666666666666699</v>
      </c>
      <c r="BC20" s="496">
        <v>0.16666666666666699</v>
      </c>
      <c r="BD20" s="496">
        <v>0.16666666666666699</v>
      </c>
      <c r="BE20" s="496">
        <v>0.16666666666666699</v>
      </c>
      <c r="BF20" s="496">
        <v>0.16666666666666699</v>
      </c>
      <c r="BG20" s="496">
        <v>0.16666666666666699</v>
      </c>
      <c r="BH20" s="496">
        <v>0.16666666666666699</v>
      </c>
      <c r="BI20" s="495">
        <v>0.16666666666666699</v>
      </c>
      <c r="BJ20" s="495">
        <v>0.16666666666666699</v>
      </c>
      <c r="BK20" s="495">
        <v>0.16666666666666699</v>
      </c>
      <c r="BL20" s="495">
        <v>0.17</v>
      </c>
      <c r="BM20" s="495">
        <v>0.17</v>
      </c>
      <c r="BN20" s="521">
        <v>0.17</v>
      </c>
      <c r="BO20" s="521">
        <v>0.17</v>
      </c>
      <c r="BP20" s="495">
        <v>0.17</v>
      </c>
      <c r="BQ20" s="495">
        <v>0</v>
      </c>
      <c r="BR20" s="495">
        <v>0</v>
      </c>
      <c r="BS20" s="495">
        <v>0</v>
      </c>
      <c r="BT20" s="495">
        <v>0</v>
      </c>
      <c r="BU20" s="179" t="s">
        <v>1139</v>
      </c>
      <c r="BV20" s="179" t="s">
        <v>1222</v>
      </c>
      <c r="BW20" s="179" t="s">
        <v>1207</v>
      </c>
      <c r="BX20" s="174" t="s">
        <v>1337</v>
      </c>
      <c r="BY20" s="179" t="s">
        <v>1352</v>
      </c>
      <c r="BZ20" s="179" t="s">
        <v>1371</v>
      </c>
      <c r="CA20" s="179" t="s">
        <v>1432</v>
      </c>
      <c r="CB20" s="179" t="s">
        <v>1449</v>
      </c>
      <c r="CC20" s="179"/>
      <c r="CD20" s="179"/>
      <c r="CE20" s="179"/>
      <c r="CF20" s="179"/>
      <c r="CG20" s="92"/>
      <c r="CH20" s="504">
        <f t="shared" si="9"/>
        <v>0.66999999999999993</v>
      </c>
      <c r="CI20" s="74" t="s">
        <v>1413</v>
      </c>
      <c r="CJ20" s="74"/>
      <c r="CK20" s="74"/>
      <c r="CL20" s="74"/>
      <c r="CM20" s="74"/>
      <c r="CN20" s="74"/>
      <c r="CO20" s="74"/>
      <c r="CP20" s="213"/>
      <c r="CQ20" s="208" t="str">
        <f t="shared" si="6"/>
        <v>TÁCTICO</v>
      </c>
      <c r="CR20" s="215">
        <f t="shared" si="7"/>
        <v>0.67499999999999916</v>
      </c>
      <c r="CS20" s="216">
        <f>IFERROR(SUM($BI20:BI20)/SUM($AW20:AW20),0)</f>
        <v>1</v>
      </c>
      <c r="CT20" s="216">
        <f>IFERROR(SUM($BI20:BJ20)/SUM($AW20:AX20),0)</f>
        <v>1</v>
      </c>
      <c r="CU20" s="216">
        <f>IFERROR(SUM($BI20:BK20)/SUM($AW20:AY20),0)</f>
        <v>1</v>
      </c>
      <c r="CV20" s="216">
        <f>IFERROR(SUM($BI20:BL20)/SUM($AW20:AZ20),0)</f>
        <v>1.0049999999999997</v>
      </c>
      <c r="CW20" s="216">
        <f>IFERROR(SUM($BI20:BM20)/SUM($AW20:BA20),0)</f>
        <v>1.0079999999999993</v>
      </c>
      <c r="CX20" s="216">
        <f>IFERROR(SUM($BI20:BN20)/SUM($AW20:BB20),0)</f>
        <v>1.0099999999999991</v>
      </c>
      <c r="CY20" s="216">
        <f>IFERROR(SUM($BI20:BO20)/SUM($AW20:BC20),0)</f>
        <v>1.0114285714285702</v>
      </c>
      <c r="CZ20" s="216">
        <f>IFERROR(SUM($BI20:BP20)/SUM($AW20:BD20),0)</f>
        <v>1.0124999999999988</v>
      </c>
      <c r="DA20" s="216">
        <f>IFERROR(SUM($BI20:BQ20)/SUM($AW20:BE20),0)</f>
        <v>0.89999999999999891</v>
      </c>
      <c r="DB20" s="216">
        <f>IFERROR(SUM($BI20:BR20)/SUM($AW20:BF20),0)</f>
        <v>0.80999999999999905</v>
      </c>
      <c r="DC20" s="216">
        <f>IFERROR(SUM($BI20:BS20)/SUM($AW20:BG20),0)</f>
        <v>0.73636363636363555</v>
      </c>
      <c r="DD20" s="216">
        <f>IFERROR(SUM($BI20:BT20)/SUM($AW20:BH20),0)</f>
        <v>0.67499999999999916</v>
      </c>
      <c r="DE20" s="254">
        <f t="shared" si="8"/>
        <v>1</v>
      </c>
      <c r="DF20" s="255">
        <f>IFERROR(SUM($BI20:BJ20)/SUM($AW20:AX20),"0")</f>
        <v>1</v>
      </c>
      <c r="DG20" s="256">
        <f>IFERROR(SUM($BI20:BK20)/SUM($AW20:AY20),"0")</f>
        <v>1</v>
      </c>
      <c r="DH20" s="256">
        <f>IFERROR(SUM($BI20:BL20)/SUM($AW20:AZ20),"0")</f>
        <v>1.0049999999999997</v>
      </c>
      <c r="DI20" s="256">
        <f>IFERROR(SUM($BI20:BM20)/SUM($AW20:BA20),"0")</f>
        <v>1.0079999999999993</v>
      </c>
      <c r="DJ20" s="256">
        <f>IFERROR(SUM($BI20:BN20)/SUM($AW20:BB20),"0")</f>
        <v>1.0099999999999991</v>
      </c>
      <c r="DK20" s="256">
        <f>IFERROR(SUM($BI20:BO20)/SUM($AW20:BC20),"0")</f>
        <v>1.0114285714285702</v>
      </c>
      <c r="DL20" s="256">
        <f>IFERROR(SUM($BI20:BP20)/SUM($AW20:BD20),"0")</f>
        <v>1.0124999999999988</v>
      </c>
      <c r="DM20" s="256">
        <f>IFERROR(SUM($BI20:BQ20)/SUM($AW20:BE20),"0")</f>
        <v>0.89999999999999891</v>
      </c>
      <c r="DN20" s="256">
        <f>IFERROR(SUM($BI20:BR20)/SUM($AW20:BF20),"0")</f>
        <v>0.80999999999999905</v>
      </c>
      <c r="DO20" s="256">
        <f>IFERROR(SUM($BI20:BS20)/SUM($AW20:BG20),"0")</f>
        <v>0.73636363636363555</v>
      </c>
      <c r="DP20" s="257">
        <f>IFERROR(SUM($BI20:BT20)/SUM($AW20:BH20),"0")</f>
        <v>0.67499999999999916</v>
      </c>
    </row>
    <row r="21" spans="1:120" s="226" customFormat="1" ht="39" customHeight="1" x14ac:dyDescent="0.25">
      <c r="A21" s="177" t="s">
        <v>385</v>
      </c>
      <c r="B21" s="188" t="s">
        <v>386</v>
      </c>
      <c r="C21" s="161" t="s">
        <v>387</v>
      </c>
      <c r="D21" s="161" t="s">
        <v>176</v>
      </c>
      <c r="E21" s="161" t="s">
        <v>177</v>
      </c>
      <c r="F21" s="303" t="s">
        <v>388</v>
      </c>
      <c r="G21" s="161" t="s">
        <v>386</v>
      </c>
      <c r="H21" s="176" t="s">
        <v>389</v>
      </c>
      <c r="I21" s="164" t="s">
        <v>390</v>
      </c>
      <c r="J21" s="176" t="s">
        <v>391</v>
      </c>
      <c r="K21" s="176" t="s">
        <v>181</v>
      </c>
      <c r="L21" s="176" t="s">
        <v>182</v>
      </c>
      <c r="M21" s="176" t="s">
        <v>183</v>
      </c>
      <c r="N21" s="176"/>
      <c r="O21" s="176"/>
      <c r="P21" s="176" t="s">
        <v>392</v>
      </c>
      <c r="Q21" s="176" t="s">
        <v>208</v>
      </c>
      <c r="R21" s="176" t="s">
        <v>393</v>
      </c>
      <c r="S21" s="176" t="s">
        <v>394</v>
      </c>
      <c r="T21" s="176" t="s">
        <v>395</v>
      </c>
      <c r="U21" s="176" t="s">
        <v>396</v>
      </c>
      <c r="V21" s="176" t="s">
        <v>397</v>
      </c>
      <c r="W21" s="176" t="s">
        <v>398</v>
      </c>
      <c r="X21" s="190">
        <f t="shared" si="0"/>
        <v>0.70000000000000007</v>
      </c>
      <c r="Y21" s="176" t="s">
        <v>399</v>
      </c>
      <c r="Z21" s="166" t="s">
        <v>215</v>
      </c>
      <c r="AA21" s="176" t="s">
        <v>216</v>
      </c>
      <c r="AB21" s="176" t="s">
        <v>217</v>
      </c>
      <c r="AC21" s="176" t="s">
        <v>400</v>
      </c>
      <c r="AD21" s="164" t="s">
        <v>197</v>
      </c>
      <c r="AE21" s="176" t="s">
        <v>401</v>
      </c>
      <c r="AF21" s="176">
        <v>0</v>
      </c>
      <c r="AG21" s="191">
        <v>0.7</v>
      </c>
      <c r="AH21" s="431">
        <v>0.1</v>
      </c>
      <c r="AI21" s="305">
        <v>100</v>
      </c>
      <c r="AJ21" s="171">
        <v>0.1</v>
      </c>
      <c r="AK21" s="171">
        <v>0.1</v>
      </c>
      <c r="AL21" s="191">
        <v>0</v>
      </c>
      <c r="AM21" s="266">
        <v>0.70000000000000007</v>
      </c>
      <c r="AN21" s="431">
        <v>0.1</v>
      </c>
      <c r="AO21" s="432">
        <v>100</v>
      </c>
      <c r="AP21" s="511">
        <v>0.1</v>
      </c>
      <c r="AQ21" s="191">
        <v>0</v>
      </c>
      <c r="AR21" s="123" t="str">
        <f t="shared" si="1"/>
        <v>0</v>
      </c>
      <c r="AS21" s="123">
        <f t="shared" si="2"/>
        <v>1.0000000000000002</v>
      </c>
      <c r="AT21" s="123">
        <f t="shared" si="3"/>
        <v>1</v>
      </c>
      <c r="AU21" s="123">
        <f t="shared" si="4"/>
        <v>1</v>
      </c>
      <c r="AV21" s="123">
        <f t="shared" si="5"/>
        <v>0</v>
      </c>
      <c r="AW21" s="470">
        <v>0</v>
      </c>
      <c r="AX21" s="492">
        <v>2.5000000000000001E-2</v>
      </c>
      <c r="AY21" s="492">
        <v>2.5000000000000001E-2</v>
      </c>
      <c r="AZ21" s="492">
        <v>2.5000000000000001E-2</v>
      </c>
      <c r="BA21" s="492">
        <v>2.5000000000000001E-2</v>
      </c>
      <c r="BB21" s="472">
        <v>0</v>
      </c>
      <c r="BC21" s="472">
        <v>0</v>
      </c>
      <c r="BD21" s="472">
        <v>0</v>
      </c>
      <c r="BE21" s="472">
        <v>0</v>
      </c>
      <c r="BF21" s="471">
        <v>0</v>
      </c>
      <c r="BG21" s="471">
        <v>0</v>
      </c>
      <c r="BH21" s="471">
        <v>0</v>
      </c>
      <c r="BI21" s="492">
        <v>0</v>
      </c>
      <c r="BJ21" s="492">
        <v>2.5000000000000001E-2</v>
      </c>
      <c r="BK21" s="492">
        <v>2.5000000000000001E-2</v>
      </c>
      <c r="BL21" s="492">
        <v>2.5000000000000001E-2</v>
      </c>
      <c r="BM21" s="492">
        <v>2.5000000000000001E-2</v>
      </c>
      <c r="BN21" s="492">
        <v>0</v>
      </c>
      <c r="BO21" s="492">
        <v>0</v>
      </c>
      <c r="BP21" s="492">
        <v>0</v>
      </c>
      <c r="BQ21" s="492">
        <v>0</v>
      </c>
      <c r="BR21" s="492">
        <v>0</v>
      </c>
      <c r="BS21" s="492">
        <v>0</v>
      </c>
      <c r="BT21" s="492">
        <v>0</v>
      </c>
      <c r="BU21" s="179" t="s">
        <v>1140</v>
      </c>
      <c r="BV21" s="295" t="s">
        <v>1186</v>
      </c>
      <c r="BW21" s="179" t="s">
        <v>1223</v>
      </c>
      <c r="BX21" s="174" t="s">
        <v>1325</v>
      </c>
      <c r="BY21" s="179" t="s">
        <v>1353</v>
      </c>
      <c r="BZ21" s="179" t="s">
        <v>1372</v>
      </c>
      <c r="CA21" s="179" t="s">
        <v>1372</v>
      </c>
      <c r="CB21" s="179" t="s">
        <v>1372</v>
      </c>
      <c r="CC21" s="179"/>
      <c r="CD21" s="179"/>
      <c r="CE21" s="179"/>
      <c r="CF21" s="179"/>
      <c r="CG21" s="92"/>
      <c r="CH21" s="504">
        <f t="shared" si="9"/>
        <v>0</v>
      </c>
      <c r="CI21" s="176" t="s">
        <v>1413</v>
      </c>
      <c r="CJ21" s="74">
        <v>0</v>
      </c>
      <c r="CK21" s="74">
        <v>50</v>
      </c>
      <c r="CL21" s="74">
        <v>51</v>
      </c>
      <c r="CM21" s="74">
        <v>95</v>
      </c>
      <c r="CN21" s="74">
        <v>96</v>
      </c>
      <c r="CO21" s="74">
        <v>100</v>
      </c>
      <c r="CP21" s="213"/>
      <c r="CQ21" s="208" t="str">
        <f t="shared" si="6"/>
        <v>ESTRATÉGICO</v>
      </c>
      <c r="CR21" s="215">
        <f t="shared" si="7"/>
        <v>1</v>
      </c>
      <c r="CS21" s="216">
        <f>IFERROR(SUM($BI21:BI21)/SUM($AW21:AW21),0)</f>
        <v>0</v>
      </c>
      <c r="CT21" s="216">
        <f>IFERROR(SUM($BI21:BJ21)/SUM($AW21:AX21),0)</f>
        <v>1</v>
      </c>
      <c r="CU21" s="216">
        <f>IFERROR(SUM($BI21:BK21)/SUM($AW21:AY21),0)</f>
        <v>1</v>
      </c>
      <c r="CV21" s="216">
        <f>IFERROR(SUM($BI21:BL21)/SUM($AW21:AZ21),0)</f>
        <v>1</v>
      </c>
      <c r="CW21" s="216">
        <f>IFERROR(SUM($BI21:BM21)/SUM($AW21:BA21),0)</f>
        <v>1</v>
      </c>
      <c r="CX21" s="216">
        <f>IFERROR(SUM($BI21:BN21)/SUM($AW21:BB21),0)</f>
        <v>1</v>
      </c>
      <c r="CY21" s="216">
        <f>IFERROR(SUM($BI21:BO21)/SUM($AW21:BC21),0)</f>
        <v>1</v>
      </c>
      <c r="CZ21" s="216">
        <f>IFERROR(SUM($BI21:BP21)/SUM($AW21:BD21),0)</f>
        <v>1</v>
      </c>
      <c r="DA21" s="216">
        <f>IFERROR(SUM($BI21:BQ21)/SUM($AW21:BE21),0)</f>
        <v>1</v>
      </c>
      <c r="DB21" s="216">
        <f>IFERROR(SUM($BI21:BR21)/SUM($AW21:BF21),0)</f>
        <v>1</v>
      </c>
      <c r="DC21" s="216">
        <f>IFERROR(SUM($BI21:BS21)/SUM($AW21:BG21),0)</f>
        <v>1</v>
      </c>
      <c r="DD21" s="216">
        <f>IFERROR(SUM($BI21:BT21)/SUM($AW21:BH21),0)</f>
        <v>1</v>
      </c>
      <c r="DE21" s="250" t="str">
        <f t="shared" si="8"/>
        <v>0</v>
      </c>
      <c r="DF21" s="251">
        <f>IFERROR(SUM($BI21:BJ21)/SUM($AW21:AX21),"0")</f>
        <v>1</v>
      </c>
      <c r="DG21" s="252">
        <f>IFERROR(SUM($BI21:BK21)/SUM($AW21:AY21),"0")</f>
        <v>1</v>
      </c>
      <c r="DH21" s="252">
        <f>IFERROR(SUM($BI21:BL21)/SUM($AW21:AZ21),"0")</f>
        <v>1</v>
      </c>
      <c r="DI21" s="252">
        <f>IFERROR(SUM($BI21:BM21)/SUM($AW21:BA21),"0")</f>
        <v>1</v>
      </c>
      <c r="DJ21" s="252">
        <f>IFERROR(SUM($BI21:BN21)/SUM($AW21:BB21),"0")</f>
        <v>1</v>
      </c>
      <c r="DK21" s="252">
        <f>IFERROR(SUM($BI21:BO21)/SUM($AW21:BC21),"0")</f>
        <v>1</v>
      </c>
      <c r="DL21" s="252">
        <f>IFERROR(SUM($BI21:BP21)/SUM($AW21:BD21),"0")</f>
        <v>1</v>
      </c>
      <c r="DM21" s="252">
        <f>IFERROR(SUM($BI21:BQ21)/SUM($AW21:BE21),"0")</f>
        <v>1</v>
      </c>
      <c r="DN21" s="252">
        <f>IFERROR(SUM($BI21:BR21)/SUM($AW21:BF21),"0")</f>
        <v>1</v>
      </c>
      <c r="DO21" s="252">
        <f>IFERROR(SUM($BI21:BS21)/SUM($AW21:BG21),"0")</f>
        <v>1</v>
      </c>
      <c r="DP21" s="253">
        <f>IFERROR(SUM($BI21:BT21)/SUM($AW21:BH21),"0")</f>
        <v>1</v>
      </c>
    </row>
    <row r="22" spans="1:120" s="226" customFormat="1" ht="39" customHeight="1" x14ac:dyDescent="0.25">
      <c r="A22" s="182" t="s">
        <v>402</v>
      </c>
      <c r="B22" s="188" t="s">
        <v>386</v>
      </c>
      <c r="C22" s="161" t="s">
        <v>403</v>
      </c>
      <c r="D22" s="161" t="s">
        <v>176</v>
      </c>
      <c r="E22" s="161" t="s">
        <v>177</v>
      </c>
      <c r="F22" s="303" t="s">
        <v>404</v>
      </c>
      <c r="G22" s="161" t="s">
        <v>386</v>
      </c>
      <c r="H22" s="176" t="s">
        <v>405</v>
      </c>
      <c r="I22" s="164" t="s">
        <v>253</v>
      </c>
      <c r="J22" s="176" t="s">
        <v>391</v>
      </c>
      <c r="K22" s="176" t="s">
        <v>181</v>
      </c>
      <c r="L22" s="176" t="s">
        <v>182</v>
      </c>
      <c r="M22" s="176" t="s">
        <v>183</v>
      </c>
      <c r="N22" s="176" t="s">
        <v>406</v>
      </c>
      <c r="O22" s="176"/>
      <c r="P22" s="176" t="s">
        <v>407</v>
      </c>
      <c r="Q22" s="176" t="s">
        <v>408</v>
      </c>
      <c r="R22" s="176" t="s">
        <v>409</v>
      </c>
      <c r="S22" s="176" t="s">
        <v>410</v>
      </c>
      <c r="T22" s="176" t="s">
        <v>411</v>
      </c>
      <c r="U22" s="176" t="s">
        <v>412</v>
      </c>
      <c r="V22" s="176" t="s">
        <v>413</v>
      </c>
      <c r="W22" s="176" t="s">
        <v>414</v>
      </c>
      <c r="X22" s="190">
        <f t="shared" si="0"/>
        <v>100</v>
      </c>
      <c r="Y22" s="176" t="s">
        <v>399</v>
      </c>
      <c r="Z22" s="166" t="s">
        <v>193</v>
      </c>
      <c r="AA22" s="176" t="s">
        <v>216</v>
      </c>
      <c r="AB22" s="176" t="s">
        <v>217</v>
      </c>
      <c r="AC22" s="176" t="s">
        <v>197</v>
      </c>
      <c r="AD22" s="176" t="s">
        <v>197</v>
      </c>
      <c r="AE22" s="176" t="s">
        <v>401</v>
      </c>
      <c r="AF22" s="176">
        <v>100</v>
      </c>
      <c r="AG22" s="176">
        <v>100</v>
      </c>
      <c r="AH22" s="429">
        <v>100</v>
      </c>
      <c r="AI22" s="305">
        <v>100</v>
      </c>
      <c r="AJ22" s="176">
        <v>100</v>
      </c>
      <c r="AK22" s="176">
        <v>100</v>
      </c>
      <c r="AL22" s="191">
        <v>99</v>
      </c>
      <c r="AM22" s="171">
        <v>100</v>
      </c>
      <c r="AN22" s="428">
        <v>100</v>
      </c>
      <c r="AO22" s="432">
        <v>100</v>
      </c>
      <c r="AP22" s="512">
        <v>100</v>
      </c>
      <c r="AQ22" s="191">
        <v>0</v>
      </c>
      <c r="AR22" s="123">
        <f t="shared" si="1"/>
        <v>0.99</v>
      </c>
      <c r="AS22" s="123">
        <f t="shared" si="2"/>
        <v>1</v>
      </c>
      <c r="AT22" s="123">
        <f t="shared" si="3"/>
        <v>1</v>
      </c>
      <c r="AU22" s="123">
        <f t="shared" si="4"/>
        <v>1</v>
      </c>
      <c r="AV22" s="123">
        <f t="shared" si="5"/>
        <v>0</v>
      </c>
      <c r="AW22" s="473">
        <v>1</v>
      </c>
      <c r="AX22" s="473">
        <v>1</v>
      </c>
      <c r="AY22" s="473">
        <v>1</v>
      </c>
      <c r="AZ22" s="473">
        <v>1</v>
      </c>
      <c r="BA22" s="473">
        <v>1</v>
      </c>
      <c r="BB22" s="473">
        <v>1</v>
      </c>
      <c r="BC22" s="473">
        <v>1</v>
      </c>
      <c r="BD22" s="473">
        <v>1</v>
      </c>
      <c r="BE22" s="473">
        <v>1</v>
      </c>
      <c r="BF22" s="473">
        <v>1</v>
      </c>
      <c r="BG22" s="473">
        <v>1</v>
      </c>
      <c r="BH22" s="473">
        <v>1</v>
      </c>
      <c r="BI22" s="473">
        <v>1</v>
      </c>
      <c r="BJ22" s="473">
        <v>1</v>
      </c>
      <c r="BK22" s="473">
        <v>1</v>
      </c>
      <c r="BL22" s="473">
        <v>1</v>
      </c>
      <c r="BM22" s="473">
        <v>1</v>
      </c>
      <c r="BN22" s="522">
        <v>1</v>
      </c>
      <c r="BO22" s="522">
        <v>1</v>
      </c>
      <c r="BP22" s="473">
        <v>1</v>
      </c>
      <c r="BQ22" s="473">
        <v>0</v>
      </c>
      <c r="BR22" s="473">
        <v>0</v>
      </c>
      <c r="BS22" s="473">
        <v>0</v>
      </c>
      <c r="BT22" s="473">
        <v>0</v>
      </c>
      <c r="BU22" s="295" t="s">
        <v>1224</v>
      </c>
      <c r="BV22" s="295" t="s">
        <v>1187</v>
      </c>
      <c r="BW22" s="179" t="s">
        <v>1208</v>
      </c>
      <c r="BX22" s="174" t="s">
        <v>1326</v>
      </c>
      <c r="BY22" s="179" t="s">
        <v>1354</v>
      </c>
      <c r="BZ22" s="179" t="s">
        <v>1373</v>
      </c>
      <c r="CA22" s="179" t="s">
        <v>1433</v>
      </c>
      <c r="CB22" s="179" t="s">
        <v>1450</v>
      </c>
      <c r="CC22" s="179"/>
      <c r="CD22" s="179"/>
      <c r="CE22" s="179"/>
      <c r="CF22" s="179"/>
      <c r="CG22" s="92"/>
      <c r="CH22" s="504">
        <f t="shared" si="9"/>
        <v>0</v>
      </c>
      <c r="CI22" s="74" t="s">
        <v>1413</v>
      </c>
      <c r="CJ22" s="74">
        <v>0</v>
      </c>
      <c r="CK22" s="74">
        <v>50</v>
      </c>
      <c r="CL22" s="74">
        <v>51</v>
      </c>
      <c r="CM22" s="74">
        <v>95</v>
      </c>
      <c r="CN22" s="74">
        <v>96</v>
      </c>
      <c r="CO22" s="74">
        <v>100</v>
      </c>
      <c r="CP22" s="212"/>
      <c r="CQ22" s="208" t="str">
        <f t="shared" si="6"/>
        <v>ESTRATÉGICO</v>
      </c>
      <c r="CR22" s="215">
        <f t="shared" si="7"/>
        <v>0.66666666666666663</v>
      </c>
      <c r="CS22" s="216">
        <f>IFERROR(SUM($BI22:BI22)/SUM($AW22:AW22),0)</f>
        <v>1</v>
      </c>
      <c r="CT22" s="216">
        <f>IFERROR(SUM($BI22:BJ22)/SUM($AW22:AX22),0)</f>
        <v>1</v>
      </c>
      <c r="CU22" s="216">
        <f>IFERROR(SUM($BI22:BK22)/SUM($AW22:AY22),0)</f>
        <v>1</v>
      </c>
      <c r="CV22" s="216">
        <f>IFERROR(SUM($BI22:BL22)/SUM($AW22:AZ22),0)</f>
        <v>1</v>
      </c>
      <c r="CW22" s="216">
        <f>IFERROR(SUM($BI22:BM22)/SUM($AW22:BA22),0)</f>
        <v>1</v>
      </c>
      <c r="CX22" s="216">
        <f>IFERROR(SUM($BI22:BN22)/SUM($AW22:BB22),0)</f>
        <v>1</v>
      </c>
      <c r="CY22" s="216">
        <f>IFERROR(SUM($BI22:BO22)/SUM($AW22:BC22),0)</f>
        <v>1</v>
      </c>
      <c r="CZ22" s="216">
        <f>IFERROR(SUM($BI22:BP22)/SUM($AW22:BD22),0)</f>
        <v>1</v>
      </c>
      <c r="DA22" s="216">
        <f>IFERROR(SUM($BI22:BQ22)/SUM($AW22:BE22),0)</f>
        <v>0.88888888888888884</v>
      </c>
      <c r="DB22" s="216">
        <f>IFERROR(SUM($BI22:BR22)/SUM($AW22:BF22),0)</f>
        <v>0.8</v>
      </c>
      <c r="DC22" s="216">
        <f>IFERROR(SUM($BI22:BS22)/SUM($AW22:BG22),0)</f>
        <v>0.72727272727272729</v>
      </c>
      <c r="DD22" s="216">
        <f>IFERROR(SUM($BI22:BT22)/SUM($AW22:BH22),0)</f>
        <v>0.66666666666666663</v>
      </c>
      <c r="DE22" s="254">
        <f t="shared" si="8"/>
        <v>1</v>
      </c>
      <c r="DF22" s="255">
        <f>IFERROR(SUM($BI22:BJ22)/SUM($AW22:AX22),"0")</f>
        <v>1</v>
      </c>
      <c r="DG22" s="256">
        <f>IFERROR(SUM($BI22:BK22)/SUM($AW22:AY22),"0")</f>
        <v>1</v>
      </c>
      <c r="DH22" s="256">
        <f>IFERROR(SUM($BI22:BL22)/SUM($AW22:AZ22),"0")</f>
        <v>1</v>
      </c>
      <c r="DI22" s="256">
        <f>IFERROR(SUM($BI22:BM22)/SUM($AW22:BA22),"0")</f>
        <v>1</v>
      </c>
      <c r="DJ22" s="256">
        <f>IFERROR(SUM($BI22:BN22)/SUM($AW22:BB22),"0")</f>
        <v>1</v>
      </c>
      <c r="DK22" s="256">
        <f>IFERROR(SUM($BI22:BO22)/SUM($AW22:BC22),"0")</f>
        <v>1</v>
      </c>
      <c r="DL22" s="256">
        <f>IFERROR(SUM($BI22:BP22)/SUM($AW22:BD22),"0")</f>
        <v>1</v>
      </c>
      <c r="DM22" s="256">
        <f>IFERROR(SUM($BI22:BQ22)/SUM($AW22:BE22),"0")</f>
        <v>0.88888888888888884</v>
      </c>
      <c r="DN22" s="256">
        <f>IFERROR(SUM($BI22:BR22)/SUM($AW22:BF22),"0")</f>
        <v>0.8</v>
      </c>
      <c r="DO22" s="256">
        <f>IFERROR(SUM($BI22:BS22)/SUM($AW22:BG22),"0")</f>
        <v>0.72727272727272729</v>
      </c>
      <c r="DP22" s="257">
        <f>IFERROR(SUM($BI22:BT22)/SUM($AW22:BH22),"0")</f>
        <v>0.66666666666666663</v>
      </c>
    </row>
    <row r="23" spans="1:120" s="226" customFormat="1" ht="39" customHeight="1" x14ac:dyDescent="0.25">
      <c r="A23" s="182" t="s">
        <v>415</v>
      </c>
      <c r="B23" s="188" t="s">
        <v>386</v>
      </c>
      <c r="C23" s="161" t="s">
        <v>416</v>
      </c>
      <c r="D23" s="161" t="s">
        <v>319</v>
      </c>
      <c r="E23" s="161" t="s">
        <v>177</v>
      </c>
      <c r="F23" s="303" t="s">
        <v>417</v>
      </c>
      <c r="G23" s="161" t="s">
        <v>386</v>
      </c>
      <c r="H23" s="176" t="s">
        <v>418</v>
      </c>
      <c r="I23" s="164" t="s">
        <v>390</v>
      </c>
      <c r="J23" s="176" t="s">
        <v>391</v>
      </c>
      <c r="K23" s="176" t="s">
        <v>181</v>
      </c>
      <c r="L23" s="176" t="s">
        <v>183</v>
      </c>
      <c r="M23" s="176"/>
      <c r="N23" s="176"/>
      <c r="O23" s="176"/>
      <c r="P23" s="176" t="s">
        <v>419</v>
      </c>
      <c r="Q23" s="176" t="s">
        <v>420</v>
      </c>
      <c r="R23" s="176" t="s">
        <v>421</v>
      </c>
      <c r="S23" s="176" t="s">
        <v>422</v>
      </c>
      <c r="T23" s="176" t="s">
        <v>423</v>
      </c>
      <c r="U23" s="176" t="s">
        <v>424</v>
      </c>
      <c r="V23" s="176" t="s">
        <v>425</v>
      </c>
      <c r="W23" s="176" t="s">
        <v>425</v>
      </c>
      <c r="X23" s="190">
        <f t="shared" si="0"/>
        <v>100</v>
      </c>
      <c r="Y23" s="176" t="s">
        <v>399</v>
      </c>
      <c r="Z23" s="166" t="s">
        <v>193</v>
      </c>
      <c r="AA23" s="176" t="s">
        <v>216</v>
      </c>
      <c r="AB23" s="176" t="s">
        <v>217</v>
      </c>
      <c r="AC23" s="176" t="s">
        <v>197</v>
      </c>
      <c r="AD23" s="176" t="s">
        <v>197</v>
      </c>
      <c r="AE23" s="176" t="s">
        <v>401</v>
      </c>
      <c r="AF23" s="176">
        <v>100</v>
      </c>
      <c r="AG23" s="191">
        <v>100</v>
      </c>
      <c r="AH23" s="428">
        <v>100</v>
      </c>
      <c r="AI23" s="305">
        <v>100</v>
      </c>
      <c r="AJ23" s="191">
        <v>100</v>
      </c>
      <c r="AK23" s="191">
        <v>100</v>
      </c>
      <c r="AL23" s="191">
        <v>100</v>
      </c>
      <c r="AM23" s="171">
        <v>100</v>
      </c>
      <c r="AN23" s="428">
        <v>100</v>
      </c>
      <c r="AO23" s="432">
        <v>100</v>
      </c>
      <c r="AP23" s="512">
        <v>100</v>
      </c>
      <c r="AQ23" s="191">
        <v>0</v>
      </c>
      <c r="AR23" s="123">
        <f t="shared" si="1"/>
        <v>1</v>
      </c>
      <c r="AS23" s="123">
        <f t="shared" si="2"/>
        <v>1</v>
      </c>
      <c r="AT23" s="123">
        <f t="shared" si="3"/>
        <v>1</v>
      </c>
      <c r="AU23" s="123">
        <f t="shared" si="4"/>
        <v>1</v>
      </c>
      <c r="AV23" s="123">
        <f t="shared" si="5"/>
        <v>0</v>
      </c>
      <c r="AW23" s="473">
        <v>1</v>
      </c>
      <c r="AX23" s="473">
        <v>1</v>
      </c>
      <c r="AY23" s="473">
        <v>1</v>
      </c>
      <c r="AZ23" s="473">
        <v>1</v>
      </c>
      <c r="BA23" s="473">
        <v>1</v>
      </c>
      <c r="BB23" s="473">
        <v>1</v>
      </c>
      <c r="BC23" s="473">
        <v>1</v>
      </c>
      <c r="BD23" s="473">
        <v>1</v>
      </c>
      <c r="BE23" s="473">
        <v>1</v>
      </c>
      <c r="BF23" s="473">
        <v>1</v>
      </c>
      <c r="BG23" s="473">
        <v>1</v>
      </c>
      <c r="BH23" s="473">
        <v>1</v>
      </c>
      <c r="BI23" s="473">
        <v>1</v>
      </c>
      <c r="BJ23" s="473">
        <v>1</v>
      </c>
      <c r="BK23" s="505">
        <v>1</v>
      </c>
      <c r="BL23" s="473">
        <v>1</v>
      </c>
      <c r="BM23" s="473">
        <v>1</v>
      </c>
      <c r="BN23" s="522">
        <v>1</v>
      </c>
      <c r="BO23" s="522">
        <v>1</v>
      </c>
      <c r="BP23" s="473">
        <v>1</v>
      </c>
      <c r="BQ23" s="473">
        <v>0</v>
      </c>
      <c r="BR23" s="473">
        <v>0</v>
      </c>
      <c r="BS23" s="473">
        <v>0</v>
      </c>
      <c r="BT23" s="473">
        <v>0</v>
      </c>
      <c r="BU23" s="295" t="s">
        <v>1177</v>
      </c>
      <c r="BV23" s="295" t="s">
        <v>1188</v>
      </c>
      <c r="BW23" s="179" t="s">
        <v>1188</v>
      </c>
      <c r="BX23" s="174" t="s">
        <v>1327</v>
      </c>
      <c r="BY23" s="179" t="s">
        <v>1355</v>
      </c>
      <c r="BZ23" s="179" t="s">
        <v>1374</v>
      </c>
      <c r="CA23" s="179" t="s">
        <v>1434</v>
      </c>
      <c r="CB23" s="179" t="s">
        <v>1451</v>
      </c>
      <c r="CC23" s="179"/>
      <c r="CD23" s="179"/>
      <c r="CE23" s="179"/>
      <c r="CF23" s="179"/>
      <c r="CG23" s="96"/>
      <c r="CH23" s="504">
        <f t="shared" si="9"/>
        <v>0</v>
      </c>
      <c r="CI23" s="74" t="s">
        <v>1413</v>
      </c>
      <c r="CJ23" s="74">
        <v>0</v>
      </c>
      <c r="CK23" s="74">
        <v>50</v>
      </c>
      <c r="CL23" s="74">
        <v>51</v>
      </c>
      <c r="CM23" s="74">
        <v>95</v>
      </c>
      <c r="CN23" s="74">
        <v>96</v>
      </c>
      <c r="CO23" s="74">
        <v>100</v>
      </c>
      <c r="CP23" s="212" t="s">
        <v>426</v>
      </c>
      <c r="CQ23" s="208" t="str">
        <f t="shared" si="6"/>
        <v>TÁCTICO</v>
      </c>
      <c r="CR23" s="215">
        <f t="shared" si="7"/>
        <v>0.66666666666666663</v>
      </c>
      <c r="CS23" s="216">
        <f>IFERROR(SUM($BI23:BI23)/SUM($AW23:AW23),0)</f>
        <v>1</v>
      </c>
      <c r="CT23" s="216">
        <f>IFERROR(SUM($BI23:BJ23)/SUM($AW23:AX23),0)</f>
        <v>1</v>
      </c>
      <c r="CU23" s="216">
        <f>IFERROR(SUM($BI23:BK23)/SUM($AW23:AY23),0)</f>
        <v>1</v>
      </c>
      <c r="CV23" s="216">
        <f>IFERROR(SUM($BI23:BL23)/SUM($AW23:AZ23),0)</f>
        <v>1</v>
      </c>
      <c r="CW23" s="216">
        <f>IFERROR(SUM($BI23:BM23)/SUM($AW23:BA23),0)</f>
        <v>1</v>
      </c>
      <c r="CX23" s="216">
        <f>IFERROR(SUM($BI23:BN23)/SUM($AW23:BB23),0)</f>
        <v>1</v>
      </c>
      <c r="CY23" s="216">
        <f>IFERROR(SUM($BI23:BO23)/SUM($AW23:BC23),0)</f>
        <v>1</v>
      </c>
      <c r="CZ23" s="216">
        <f>IFERROR(SUM($BI23:BP23)/SUM($AW23:BD23),0)</f>
        <v>1</v>
      </c>
      <c r="DA23" s="216">
        <f>IFERROR(SUM($BI23:BQ23)/SUM($AW23:BE23),0)</f>
        <v>0.88888888888888884</v>
      </c>
      <c r="DB23" s="216">
        <f>IFERROR(SUM($BI23:BR23)/SUM($AW23:BF23),0)</f>
        <v>0.8</v>
      </c>
      <c r="DC23" s="216">
        <f>IFERROR(SUM($BI23:BS23)/SUM($AW23:BG23),0)</f>
        <v>0.72727272727272729</v>
      </c>
      <c r="DD23" s="216">
        <f>IFERROR(SUM($BI23:BT23)/SUM($AW23:BH23),0)</f>
        <v>0.66666666666666663</v>
      </c>
      <c r="DE23" s="250">
        <f t="shared" si="8"/>
        <v>1</v>
      </c>
      <c r="DF23" s="251">
        <f>IFERROR(SUM($BI23:BJ23)/SUM($AW23:AX23),"0")</f>
        <v>1</v>
      </c>
      <c r="DG23" s="252">
        <f>IFERROR(SUM($BI23:BK23)/SUM($AW23:AY23),"0")</f>
        <v>1</v>
      </c>
      <c r="DH23" s="252">
        <f>IFERROR(SUM($BI23:BL23)/SUM($AW23:AZ23),"0")</f>
        <v>1</v>
      </c>
      <c r="DI23" s="252">
        <f>IFERROR(SUM($BI23:BM23)/SUM($AW23:BA23),"0")</f>
        <v>1</v>
      </c>
      <c r="DJ23" s="252">
        <f>IFERROR(SUM($BI23:BN23)/SUM($AW23:BB23),"0")</f>
        <v>1</v>
      </c>
      <c r="DK23" s="252">
        <f>IFERROR(SUM($BI23:BO23)/SUM($AW23:BC23),"0")</f>
        <v>1</v>
      </c>
      <c r="DL23" s="252">
        <f>IFERROR(SUM($BI23:BP23)/SUM($AW23:BD23),"0")</f>
        <v>1</v>
      </c>
      <c r="DM23" s="252">
        <f>IFERROR(SUM($BI23:BQ23)/SUM($AW23:BE23),"0")</f>
        <v>0.88888888888888884</v>
      </c>
      <c r="DN23" s="252">
        <f>IFERROR(SUM($BI23:BR23)/SUM($AW23:BF23),"0")</f>
        <v>0.8</v>
      </c>
      <c r="DO23" s="252">
        <f>IFERROR(SUM($BI23:BS23)/SUM($AW23:BG23),"0")</f>
        <v>0.72727272727272729</v>
      </c>
      <c r="DP23" s="253">
        <f>IFERROR(SUM($BI23:BT23)/SUM($AW23:BH23),"0")</f>
        <v>0.66666666666666663</v>
      </c>
    </row>
    <row r="24" spans="1:120" s="226" customFormat="1" ht="39" customHeight="1" x14ac:dyDescent="0.25">
      <c r="A24" s="182" t="s">
        <v>427</v>
      </c>
      <c r="B24" s="188" t="s">
        <v>386</v>
      </c>
      <c r="C24" s="161" t="s">
        <v>428</v>
      </c>
      <c r="D24" s="161" t="s">
        <v>319</v>
      </c>
      <c r="E24" s="532" t="s">
        <v>177</v>
      </c>
      <c r="F24" s="303" t="s">
        <v>429</v>
      </c>
      <c r="G24" s="161" t="s">
        <v>386</v>
      </c>
      <c r="H24" s="176" t="s">
        <v>430</v>
      </c>
      <c r="I24" s="164" t="s">
        <v>390</v>
      </c>
      <c r="J24" s="176" t="s">
        <v>391</v>
      </c>
      <c r="K24" s="176" t="s">
        <v>181</v>
      </c>
      <c r="L24" s="176" t="s">
        <v>183</v>
      </c>
      <c r="M24" s="176" t="s">
        <v>406</v>
      </c>
      <c r="N24" s="176"/>
      <c r="O24" s="176"/>
      <c r="P24" s="176" t="s">
        <v>431</v>
      </c>
      <c r="Q24" s="176" t="s">
        <v>208</v>
      </c>
      <c r="R24" s="176" t="s">
        <v>432</v>
      </c>
      <c r="S24" s="176" t="s">
        <v>433</v>
      </c>
      <c r="T24" s="176" t="s">
        <v>434</v>
      </c>
      <c r="U24" s="176" t="s">
        <v>435</v>
      </c>
      <c r="V24" s="176" t="s">
        <v>436</v>
      </c>
      <c r="W24" s="176" t="s">
        <v>437</v>
      </c>
      <c r="X24" s="190">
        <f t="shared" si="0"/>
        <v>100</v>
      </c>
      <c r="Y24" s="176" t="s">
        <v>399</v>
      </c>
      <c r="Z24" s="166" t="s">
        <v>193</v>
      </c>
      <c r="AA24" s="176" t="s">
        <v>216</v>
      </c>
      <c r="AB24" s="176" t="s">
        <v>217</v>
      </c>
      <c r="AC24" s="176" t="s">
        <v>438</v>
      </c>
      <c r="AD24" s="176" t="s">
        <v>400</v>
      </c>
      <c r="AE24" s="176" t="s">
        <v>401</v>
      </c>
      <c r="AF24" s="176">
        <v>0</v>
      </c>
      <c r="AG24" s="191">
        <v>100</v>
      </c>
      <c r="AH24" s="428">
        <v>100</v>
      </c>
      <c r="AI24" s="305">
        <v>100</v>
      </c>
      <c r="AJ24" s="191">
        <v>100</v>
      </c>
      <c r="AK24" s="191">
        <v>100</v>
      </c>
      <c r="AL24" s="176">
        <v>0</v>
      </c>
      <c r="AM24" s="171">
        <v>100</v>
      </c>
      <c r="AN24" s="428">
        <v>100</v>
      </c>
      <c r="AO24" s="432">
        <v>100</v>
      </c>
      <c r="AP24" s="512">
        <v>0</v>
      </c>
      <c r="AQ24" s="191">
        <v>0</v>
      </c>
      <c r="AR24" s="123" t="str">
        <f t="shared" si="1"/>
        <v>0</v>
      </c>
      <c r="AS24" s="123">
        <f t="shared" si="2"/>
        <v>1</v>
      </c>
      <c r="AT24" s="123">
        <f t="shared" si="3"/>
        <v>1</v>
      </c>
      <c r="AU24" s="123">
        <f t="shared" si="4"/>
        <v>0</v>
      </c>
      <c r="AV24" s="123">
        <f t="shared" si="5"/>
        <v>0</v>
      </c>
      <c r="AW24" s="473">
        <v>1</v>
      </c>
      <c r="AX24" s="473">
        <v>1</v>
      </c>
      <c r="AY24" s="473">
        <v>1</v>
      </c>
      <c r="AZ24" s="473">
        <v>1</v>
      </c>
      <c r="BA24" s="473">
        <v>1</v>
      </c>
      <c r="BB24" s="473">
        <v>1</v>
      </c>
      <c r="BC24" s="473">
        <v>1</v>
      </c>
      <c r="BD24" s="473">
        <v>1</v>
      </c>
      <c r="BE24" s="473">
        <v>1</v>
      </c>
      <c r="BF24" s="473">
        <v>1</v>
      </c>
      <c r="BG24" s="473">
        <v>1</v>
      </c>
      <c r="BH24" s="473">
        <v>1</v>
      </c>
      <c r="BI24" s="473">
        <v>1</v>
      </c>
      <c r="BJ24" s="473">
        <v>1</v>
      </c>
      <c r="BK24" s="505">
        <v>1</v>
      </c>
      <c r="BL24" s="473">
        <v>1</v>
      </c>
      <c r="BM24" s="473">
        <v>1</v>
      </c>
      <c r="BN24" s="522">
        <v>1</v>
      </c>
      <c r="BO24" s="522">
        <v>0</v>
      </c>
      <c r="BP24" s="473">
        <v>0</v>
      </c>
      <c r="BQ24" s="473">
        <v>0</v>
      </c>
      <c r="BR24" s="473">
        <v>0</v>
      </c>
      <c r="BS24" s="473">
        <v>0</v>
      </c>
      <c r="BT24" s="473">
        <v>0</v>
      </c>
      <c r="BU24" s="179" t="s">
        <v>1178</v>
      </c>
      <c r="BV24" s="179" t="s">
        <v>1189</v>
      </c>
      <c r="BW24" s="179" t="s">
        <v>1209</v>
      </c>
      <c r="BX24" s="174" t="s">
        <v>1328</v>
      </c>
      <c r="BY24" s="179" t="s">
        <v>1356</v>
      </c>
      <c r="BZ24" s="179" t="s">
        <v>1375</v>
      </c>
      <c r="CA24" s="179" t="s">
        <v>1435</v>
      </c>
      <c r="CB24" s="179" t="s">
        <v>1452</v>
      </c>
      <c r="CC24" s="179"/>
      <c r="CD24" s="179"/>
      <c r="CE24" s="179"/>
      <c r="CF24" s="179"/>
      <c r="CG24" s="92"/>
      <c r="CH24" s="504">
        <f t="shared" si="9"/>
        <v>100</v>
      </c>
      <c r="CI24" s="74" t="s">
        <v>1417</v>
      </c>
      <c r="CJ24" s="74">
        <v>0</v>
      </c>
      <c r="CK24" s="74">
        <v>50</v>
      </c>
      <c r="CL24" s="74">
        <v>51</v>
      </c>
      <c r="CM24" s="74">
        <v>95</v>
      </c>
      <c r="CN24" s="74">
        <v>96</v>
      </c>
      <c r="CO24" s="74">
        <v>100</v>
      </c>
      <c r="CP24" s="212" t="s">
        <v>439</v>
      </c>
      <c r="CQ24" s="208" t="str">
        <f t="shared" si="6"/>
        <v>TÁCTICO</v>
      </c>
      <c r="CR24" s="215">
        <f t="shared" si="7"/>
        <v>0.5</v>
      </c>
      <c r="CS24" s="216">
        <f>IFERROR(SUM($BI24:BI24)/SUM($AW24:AW24),0)</f>
        <v>1</v>
      </c>
      <c r="CT24" s="216">
        <f>IFERROR(SUM($BI24:BJ24)/SUM($AW24:AX24),0)</f>
        <v>1</v>
      </c>
      <c r="CU24" s="216">
        <f>IFERROR(SUM($BI24:BK24)/SUM($AW24:AY24),0)</f>
        <v>1</v>
      </c>
      <c r="CV24" s="216">
        <f>IFERROR(SUM($BI24:BL24)/SUM($AW24:AZ24),0)</f>
        <v>1</v>
      </c>
      <c r="CW24" s="216">
        <f>IFERROR(SUM($BI24:BM24)/SUM($AW24:BA24),0)</f>
        <v>1</v>
      </c>
      <c r="CX24" s="216">
        <f>IFERROR(SUM($BI24:BN24)/SUM($AW24:BB24),0)</f>
        <v>1</v>
      </c>
      <c r="CY24" s="216">
        <f>IFERROR(SUM($BI24:BO24)/SUM($AW24:BC24),0)</f>
        <v>0.8571428571428571</v>
      </c>
      <c r="CZ24" s="216">
        <f>IFERROR(SUM($BI24:BP24)/SUM($AW24:BD24),0)</f>
        <v>0.75</v>
      </c>
      <c r="DA24" s="216">
        <f>IFERROR(SUM($BI24:BQ24)/SUM($AW24:BE24),0)</f>
        <v>0.66666666666666663</v>
      </c>
      <c r="DB24" s="216">
        <f>IFERROR(SUM($BI24:BR24)/SUM($AW24:BF24),0)</f>
        <v>0.6</v>
      </c>
      <c r="DC24" s="216">
        <f>IFERROR(SUM($BI24:BS24)/SUM($AW24:BG24),0)</f>
        <v>0.54545454545454541</v>
      </c>
      <c r="DD24" s="216">
        <f>IFERROR(SUM($BI24:BT24)/SUM($AW24:BH24),0)</f>
        <v>0.5</v>
      </c>
      <c r="DE24" s="254">
        <f t="shared" si="8"/>
        <v>1</v>
      </c>
      <c r="DF24" s="255">
        <f>IFERROR(SUM($BI24:BJ24)/SUM($AW24:AX24),"0")</f>
        <v>1</v>
      </c>
      <c r="DG24" s="256">
        <f>IFERROR(SUM($BI24:BK24)/SUM($AW24:AY24),"0")</f>
        <v>1</v>
      </c>
      <c r="DH24" s="256">
        <f>IFERROR(SUM($BI24:BL24)/SUM($AW24:AZ24),"0")</f>
        <v>1</v>
      </c>
      <c r="DI24" s="256">
        <f>IFERROR(SUM($BI24:BM24)/SUM($AW24:BA24),"0")</f>
        <v>1</v>
      </c>
      <c r="DJ24" s="256">
        <f>IFERROR(SUM($BI24:BN24)/SUM($AW24:BB24),"0")</f>
        <v>1</v>
      </c>
      <c r="DK24" s="256">
        <f>IFERROR(SUM($BI24:BO24)/SUM($AW24:BC24),"0")</f>
        <v>0.8571428571428571</v>
      </c>
      <c r="DL24" s="256">
        <f>IFERROR(SUM($BI24:BP24)/SUM($AW24:BD24),"0")</f>
        <v>0.75</v>
      </c>
      <c r="DM24" s="256">
        <f>IFERROR(SUM($BI24:BQ24)/SUM($AW24:BE24),"0")</f>
        <v>0.66666666666666663</v>
      </c>
      <c r="DN24" s="256">
        <f>IFERROR(SUM($BI24:BR24)/SUM($AW24:BF24),"0")</f>
        <v>0.6</v>
      </c>
      <c r="DO24" s="256">
        <f>IFERROR(SUM($BI24:BS24)/SUM($AW24:BG24),"0")</f>
        <v>0.54545454545454541</v>
      </c>
      <c r="DP24" s="257">
        <f>IFERROR(SUM($BI24:BT24)/SUM($AW24:BH24),"0")</f>
        <v>0.5</v>
      </c>
    </row>
    <row r="25" spans="1:120" s="226" customFormat="1" ht="39" customHeight="1" x14ac:dyDescent="0.25">
      <c r="A25" s="205" t="s">
        <v>458</v>
      </c>
      <c r="B25" s="161" t="s">
        <v>174</v>
      </c>
      <c r="C25" s="201" t="s">
        <v>459</v>
      </c>
      <c r="D25" s="345" t="s">
        <v>319</v>
      </c>
      <c r="E25" s="202" t="s">
        <v>443</v>
      </c>
      <c r="F25" s="203" t="s">
        <v>460</v>
      </c>
      <c r="G25" s="201" t="s">
        <v>174</v>
      </c>
      <c r="H25" s="193" t="s">
        <v>461</v>
      </c>
      <c r="I25" s="179" t="s">
        <v>180</v>
      </c>
      <c r="J25" s="176" t="s">
        <v>721</v>
      </c>
      <c r="K25" s="176" t="s">
        <v>181</v>
      </c>
      <c r="L25" s="193" t="s">
        <v>448</v>
      </c>
      <c r="M25" s="193"/>
      <c r="N25" s="193"/>
      <c r="O25" s="193"/>
      <c r="P25" s="193" t="s">
        <v>462</v>
      </c>
      <c r="Q25" s="193" t="s">
        <v>463</v>
      </c>
      <c r="R25" s="193" t="s">
        <v>464</v>
      </c>
      <c r="S25" s="193" t="s">
        <v>465</v>
      </c>
      <c r="T25" s="193" t="s">
        <v>466</v>
      </c>
      <c r="U25" s="193" t="s">
        <v>467</v>
      </c>
      <c r="V25" s="193" t="s">
        <v>468</v>
      </c>
      <c r="W25" s="193" t="s">
        <v>468</v>
      </c>
      <c r="X25" s="193" t="s">
        <v>233</v>
      </c>
      <c r="Y25" s="193" t="s">
        <v>233</v>
      </c>
      <c r="Z25" s="175" t="s">
        <v>329</v>
      </c>
      <c r="AA25" s="193" t="s">
        <v>456</v>
      </c>
      <c r="AB25" s="176" t="s">
        <v>217</v>
      </c>
      <c r="AC25" s="193" t="s">
        <v>196</v>
      </c>
      <c r="AD25" s="179" t="s">
        <v>197</v>
      </c>
      <c r="AE25" s="193" t="s">
        <v>198</v>
      </c>
      <c r="AF25" s="164">
        <v>0</v>
      </c>
      <c r="AG25" s="204">
        <v>95</v>
      </c>
      <c r="AH25" s="428">
        <v>95</v>
      </c>
      <c r="AI25" s="305">
        <v>100</v>
      </c>
      <c r="AJ25" s="204">
        <v>95</v>
      </c>
      <c r="AK25" s="204">
        <v>95</v>
      </c>
      <c r="AL25" s="164">
        <v>0</v>
      </c>
      <c r="AM25" s="171">
        <v>100</v>
      </c>
      <c r="AN25" s="433">
        <v>97</v>
      </c>
      <c r="AO25" s="432">
        <v>100</v>
      </c>
      <c r="AP25" s="511">
        <v>81.459999999999994</v>
      </c>
      <c r="AQ25" s="191">
        <v>0</v>
      </c>
      <c r="AR25" s="123" t="str">
        <f t="shared" si="1"/>
        <v>0</v>
      </c>
      <c r="AS25" s="123">
        <f t="shared" si="2"/>
        <v>1.0526315789473684</v>
      </c>
      <c r="AT25" s="123">
        <f t="shared" si="3"/>
        <v>1</v>
      </c>
      <c r="AU25" s="123">
        <f t="shared" si="4"/>
        <v>0.85747368421052628</v>
      </c>
      <c r="AV25" s="123">
        <f t="shared" si="5"/>
        <v>0</v>
      </c>
      <c r="AW25" s="187">
        <v>0</v>
      </c>
      <c r="AX25" s="187">
        <v>0</v>
      </c>
      <c r="AY25" s="473">
        <v>0.25</v>
      </c>
      <c r="AZ25" s="187">
        <v>0</v>
      </c>
      <c r="BA25" s="187">
        <v>0</v>
      </c>
      <c r="BB25" s="473">
        <v>0.5</v>
      </c>
      <c r="BC25" s="187">
        <v>0</v>
      </c>
      <c r="BD25" s="187">
        <v>0</v>
      </c>
      <c r="BE25" s="473">
        <v>0.7</v>
      </c>
      <c r="BF25" s="187">
        <v>0</v>
      </c>
      <c r="BG25" s="187">
        <v>0</v>
      </c>
      <c r="BH25" s="473">
        <v>0.95</v>
      </c>
      <c r="BI25" s="466">
        <v>0</v>
      </c>
      <c r="BJ25" s="466">
        <v>0</v>
      </c>
      <c r="BK25" s="501">
        <v>0.77649999999999997</v>
      </c>
      <c r="BL25" s="466">
        <v>0</v>
      </c>
      <c r="BM25" s="466">
        <v>0</v>
      </c>
      <c r="BN25" s="501">
        <v>0.81459999999999999</v>
      </c>
      <c r="BO25" s="466">
        <v>0</v>
      </c>
      <c r="BP25" s="466">
        <v>0</v>
      </c>
      <c r="BQ25" s="501">
        <v>0</v>
      </c>
      <c r="BR25" s="466">
        <v>0</v>
      </c>
      <c r="BS25" s="466">
        <v>0</v>
      </c>
      <c r="BT25" s="501">
        <v>0</v>
      </c>
      <c r="BU25" s="179" t="s">
        <v>1269</v>
      </c>
      <c r="BV25" s="179" t="s">
        <v>1269</v>
      </c>
      <c r="BW25" s="179" t="s">
        <v>1270</v>
      </c>
      <c r="BX25" s="179" t="s">
        <v>1269</v>
      </c>
      <c r="BY25" s="179" t="s">
        <v>1269</v>
      </c>
      <c r="BZ25" s="179" t="s">
        <v>1376</v>
      </c>
      <c r="CA25" s="179" t="s">
        <v>1269</v>
      </c>
      <c r="CB25" s="179" t="s">
        <v>1269</v>
      </c>
      <c r="CC25" s="179"/>
      <c r="CD25" s="179" t="s">
        <v>1269</v>
      </c>
      <c r="CE25" s="179" t="s">
        <v>1269</v>
      </c>
      <c r="CF25" s="179"/>
      <c r="CG25" s="92"/>
      <c r="CH25" s="504">
        <f t="shared" si="9"/>
        <v>13.540000000000006</v>
      </c>
      <c r="CI25" s="74" t="s">
        <v>1413</v>
      </c>
      <c r="CJ25" s="74">
        <v>0</v>
      </c>
      <c r="CK25" s="74">
        <v>79</v>
      </c>
      <c r="CL25" s="74">
        <v>80</v>
      </c>
      <c r="CM25" s="74">
        <v>89</v>
      </c>
      <c r="CN25" s="74">
        <v>90</v>
      </c>
      <c r="CO25" s="74">
        <v>100</v>
      </c>
      <c r="CP25" s="212"/>
      <c r="CQ25" s="214" t="str">
        <f t="shared" si="6"/>
        <v>TÁCTICO</v>
      </c>
      <c r="CR25" s="215">
        <f t="shared" si="7"/>
        <v>0.66295833333333332</v>
      </c>
      <c r="CS25" s="216">
        <f>IFERROR(SUM($BI25:BI25)/SUM($AW25:AW25),0)</f>
        <v>0</v>
      </c>
      <c r="CT25" s="216">
        <f>IFERROR(SUM($BI25:BJ25)/SUM($AW25:AX25),0)</f>
        <v>0</v>
      </c>
      <c r="CU25" s="216">
        <f>IFERROR(SUM($BI25:BK25)/SUM($AW25:AY25),0)</f>
        <v>3.1059999999999999</v>
      </c>
      <c r="CV25" s="216">
        <f>IFERROR(SUM($BI25:BL25)/SUM($AW25:AZ25),0)</f>
        <v>3.1059999999999999</v>
      </c>
      <c r="CW25" s="216">
        <f>IFERROR(SUM($BI25:BM25)/SUM($AW25:BA25),0)</f>
        <v>3.1059999999999999</v>
      </c>
      <c r="CX25" s="216">
        <f>IFERROR(SUM($BI25:BN25)/SUM($AW25:BB25),0)</f>
        <v>2.1214666666666666</v>
      </c>
      <c r="CY25" s="216">
        <f>IFERROR(SUM($BI25:BO25)/SUM($AW25:BC25),0)</f>
        <v>2.1214666666666666</v>
      </c>
      <c r="CZ25" s="216">
        <f>IFERROR(SUM($BI25:BP25)/SUM($AW25:BD25),0)</f>
        <v>2.1214666666666666</v>
      </c>
      <c r="DA25" s="216">
        <f>IFERROR(SUM($BI25:BQ25)/SUM($AW25:BE25),0)</f>
        <v>1.0973103448275863</v>
      </c>
      <c r="DB25" s="216">
        <f>IFERROR(SUM($BI25:BR25)/SUM($AW25:BF25),0)</f>
        <v>1.0973103448275863</v>
      </c>
      <c r="DC25" s="216">
        <f>IFERROR(SUM($BI25:BS25)/SUM($AW25:BG25),0)</f>
        <v>1.0973103448275863</v>
      </c>
      <c r="DD25" s="216">
        <f>IFERROR(SUM($BI25:BT25)/SUM($AW25:BH25),0)</f>
        <v>0.66295833333333332</v>
      </c>
      <c r="DE25" s="254" t="str">
        <f t="shared" si="8"/>
        <v>0</v>
      </c>
      <c r="DF25" s="255" t="str">
        <f>IFERROR(SUM($BI25:BJ25)/SUM($AW25:AX25),"0")</f>
        <v>0</v>
      </c>
      <c r="DG25" s="256">
        <f>IFERROR(SUM($BI25:BK25)/SUM($AW25:AY25),"0")</f>
        <v>3.1059999999999999</v>
      </c>
      <c r="DH25" s="256">
        <f>IFERROR(SUM($BI25:BL25)/SUM($AW25:AZ25),"0")</f>
        <v>3.1059999999999999</v>
      </c>
      <c r="DI25" s="256">
        <f>IFERROR(SUM($BI25:BM25)/SUM($AW25:BA25),"0")</f>
        <v>3.1059999999999999</v>
      </c>
      <c r="DJ25" s="256">
        <f>IFERROR(SUM($BI25:BN25)/SUM($AW25:BB25),"0")</f>
        <v>2.1214666666666666</v>
      </c>
      <c r="DK25" s="256">
        <f>IFERROR(SUM($BI25:BO25)/SUM($AW25:BC25),"0")</f>
        <v>2.1214666666666666</v>
      </c>
      <c r="DL25" s="256">
        <f>IFERROR(SUM($BI25:BP25)/SUM($AW25:BD25),"0")</f>
        <v>2.1214666666666666</v>
      </c>
      <c r="DM25" s="256">
        <f>IFERROR(SUM($BI25:BQ25)/SUM($AW25:BE25),"0")</f>
        <v>1.0973103448275863</v>
      </c>
      <c r="DN25" s="256">
        <f>IFERROR(SUM($BI25:BR25)/SUM($AW25:BF25),"0")</f>
        <v>1.0973103448275863</v>
      </c>
      <c r="DO25" s="256">
        <f>IFERROR(SUM($BI25:BS25)/SUM($AW25:BG25),"0")</f>
        <v>1.0973103448275863</v>
      </c>
      <c r="DP25" s="257">
        <f>IFERROR(SUM($BI25:BT25)/SUM($AW25:BH25),"0")</f>
        <v>0.66295833333333332</v>
      </c>
    </row>
    <row r="26" spans="1:120" s="226" customFormat="1" ht="39" customHeight="1" x14ac:dyDescent="0.25">
      <c r="A26" s="182" t="s">
        <v>1225</v>
      </c>
      <c r="B26" s="161" t="s">
        <v>174</v>
      </c>
      <c r="C26" s="201" t="s">
        <v>469</v>
      </c>
      <c r="D26" s="345" t="s">
        <v>470</v>
      </c>
      <c r="E26" s="202" t="s">
        <v>443</v>
      </c>
      <c r="F26" s="203" t="s">
        <v>1226</v>
      </c>
      <c r="G26" s="201" t="s">
        <v>174</v>
      </c>
      <c r="H26" s="193" t="s">
        <v>472</v>
      </c>
      <c r="I26" s="179" t="s">
        <v>180</v>
      </c>
      <c r="J26" s="193" t="s">
        <v>205</v>
      </c>
      <c r="K26" s="176" t="s">
        <v>181</v>
      </c>
      <c r="L26" s="193" t="s">
        <v>448</v>
      </c>
      <c r="M26" s="193"/>
      <c r="N26" s="193"/>
      <c r="O26" s="193"/>
      <c r="P26" s="193" t="s">
        <v>473</v>
      </c>
      <c r="Q26" s="193" t="s">
        <v>474</v>
      </c>
      <c r="R26" s="193" t="s">
        <v>475</v>
      </c>
      <c r="S26" s="193" t="s">
        <v>476</v>
      </c>
      <c r="T26" s="193" t="s">
        <v>477</v>
      </c>
      <c r="U26" s="193" t="s">
        <v>478</v>
      </c>
      <c r="V26" s="193" t="s">
        <v>479</v>
      </c>
      <c r="W26" s="193" t="s">
        <v>479</v>
      </c>
      <c r="X26" s="193" t="s">
        <v>480</v>
      </c>
      <c r="Y26" s="193" t="s">
        <v>480</v>
      </c>
      <c r="Z26" s="175" t="s">
        <v>193</v>
      </c>
      <c r="AA26" s="193" t="s">
        <v>456</v>
      </c>
      <c r="AB26" s="176" t="s">
        <v>217</v>
      </c>
      <c r="AC26" s="193" t="s">
        <v>196</v>
      </c>
      <c r="AD26" s="179" t="s">
        <v>197</v>
      </c>
      <c r="AE26" s="193" t="s">
        <v>198</v>
      </c>
      <c r="AF26" s="164">
        <v>0</v>
      </c>
      <c r="AG26" s="204">
        <v>100</v>
      </c>
      <c r="AH26" s="428">
        <v>100</v>
      </c>
      <c r="AI26" s="305">
        <v>100</v>
      </c>
      <c r="AJ26" s="204">
        <v>100</v>
      </c>
      <c r="AK26" s="204">
        <v>100</v>
      </c>
      <c r="AL26" s="164">
        <v>0</v>
      </c>
      <c r="AM26" s="171">
        <v>100</v>
      </c>
      <c r="AN26" s="440">
        <v>100</v>
      </c>
      <c r="AO26" s="432">
        <v>100</v>
      </c>
      <c r="AP26" s="512">
        <v>100</v>
      </c>
      <c r="AQ26" s="191">
        <v>0</v>
      </c>
      <c r="AR26" s="123" t="str">
        <f t="shared" si="1"/>
        <v>0</v>
      </c>
      <c r="AS26" s="123">
        <f t="shared" si="2"/>
        <v>1</v>
      </c>
      <c r="AT26" s="123">
        <f t="shared" si="3"/>
        <v>1</v>
      </c>
      <c r="AU26" s="123">
        <f t="shared" si="4"/>
        <v>1</v>
      </c>
      <c r="AV26" s="123">
        <f t="shared" si="5"/>
        <v>0</v>
      </c>
      <c r="AW26" s="187">
        <v>0</v>
      </c>
      <c r="AX26" s="187">
        <v>0</v>
      </c>
      <c r="AY26" s="473">
        <v>1</v>
      </c>
      <c r="AZ26" s="187">
        <v>0</v>
      </c>
      <c r="BA26" s="187">
        <v>0</v>
      </c>
      <c r="BB26" s="473">
        <v>1</v>
      </c>
      <c r="BC26" s="187">
        <v>0</v>
      </c>
      <c r="BD26" s="187">
        <v>0</v>
      </c>
      <c r="BE26" s="473">
        <v>1</v>
      </c>
      <c r="BF26" s="187">
        <v>0</v>
      </c>
      <c r="BG26" s="187">
        <v>0</v>
      </c>
      <c r="BH26" s="473">
        <v>1</v>
      </c>
      <c r="BI26" s="466">
        <v>0</v>
      </c>
      <c r="BJ26" s="466">
        <v>0</v>
      </c>
      <c r="BK26" s="473">
        <v>1</v>
      </c>
      <c r="BL26" s="466">
        <v>0</v>
      </c>
      <c r="BM26" s="466">
        <v>0</v>
      </c>
      <c r="BN26" s="473">
        <v>1</v>
      </c>
      <c r="BO26" s="466">
        <v>0</v>
      </c>
      <c r="BP26" s="466">
        <v>0</v>
      </c>
      <c r="BQ26" s="501">
        <v>0</v>
      </c>
      <c r="BR26" s="466">
        <v>0</v>
      </c>
      <c r="BS26" s="466">
        <v>0</v>
      </c>
      <c r="BT26" s="501">
        <v>0</v>
      </c>
      <c r="BU26" s="179" t="s">
        <v>1269</v>
      </c>
      <c r="BV26" s="179" t="s">
        <v>1269</v>
      </c>
      <c r="BW26" s="179" t="s">
        <v>1271</v>
      </c>
      <c r="BX26" s="179" t="s">
        <v>1269</v>
      </c>
      <c r="BY26" s="179" t="s">
        <v>1269</v>
      </c>
      <c r="BZ26" s="179" t="s">
        <v>1377</v>
      </c>
      <c r="CA26" s="179" t="s">
        <v>1269</v>
      </c>
      <c r="CB26" s="179" t="s">
        <v>1269</v>
      </c>
      <c r="CC26" s="179"/>
      <c r="CD26" s="179" t="s">
        <v>1269</v>
      </c>
      <c r="CE26" s="179" t="s">
        <v>1269</v>
      </c>
      <c r="CF26" s="179"/>
      <c r="CG26" s="92"/>
      <c r="CH26" s="504">
        <f t="shared" si="9"/>
        <v>0</v>
      </c>
      <c r="CI26" s="74" t="s">
        <v>1413</v>
      </c>
      <c r="CJ26" s="206"/>
      <c r="CK26" s="206"/>
      <c r="CL26" s="206"/>
      <c r="CM26" s="206"/>
      <c r="CN26" s="206"/>
      <c r="CO26" s="206"/>
      <c r="CP26" s="212"/>
      <c r="CQ26" s="208" t="str">
        <f t="shared" si="6"/>
        <v>OPERATIVO</v>
      </c>
      <c r="CR26" s="215">
        <f t="shared" si="7"/>
        <v>0.5</v>
      </c>
      <c r="CS26" s="216">
        <f>IFERROR(SUM($BI26:BI26)/SUM($AW26:AW26),0)</f>
        <v>0</v>
      </c>
      <c r="CT26" s="216">
        <f>IFERROR(SUM($BI26:BJ26)/SUM($AW26:AX26),0)</f>
        <v>0</v>
      </c>
      <c r="CU26" s="216">
        <f>IFERROR(SUM($BI26:BK26)/SUM($AW26:AY26),0)</f>
        <v>1</v>
      </c>
      <c r="CV26" s="216">
        <f>IFERROR(SUM($BI26:BL26)/SUM($AW26:AZ26),0)</f>
        <v>1</v>
      </c>
      <c r="CW26" s="216">
        <f>IFERROR(SUM($BI26:BM26)/SUM($AW26:BA26),0)</f>
        <v>1</v>
      </c>
      <c r="CX26" s="216">
        <f>IFERROR(SUM($BI26:BN26)/SUM($AW26:BB26),0)</f>
        <v>1</v>
      </c>
      <c r="CY26" s="216">
        <f>IFERROR(SUM($BI26:BO26)/SUM($AW26:BC26),0)</f>
        <v>1</v>
      </c>
      <c r="CZ26" s="216">
        <f>IFERROR(SUM($BI26:BP26)/SUM($AW26:BD26),0)</f>
        <v>1</v>
      </c>
      <c r="DA26" s="216">
        <f>IFERROR(SUM($BI26:BQ26)/SUM($AW26:BE26),0)</f>
        <v>0.66666666666666663</v>
      </c>
      <c r="DB26" s="216">
        <f>IFERROR(SUM($BI26:BR26)/SUM($AW26:BF26),0)</f>
        <v>0.66666666666666663</v>
      </c>
      <c r="DC26" s="216">
        <f>IFERROR(SUM($BI26:BS26)/SUM($AW26:BG26),0)</f>
        <v>0.66666666666666663</v>
      </c>
      <c r="DD26" s="216">
        <f>IFERROR(SUM($BI26:BT26)/SUM($AW26:BH26),0)</f>
        <v>0.5</v>
      </c>
      <c r="DE26" s="250" t="str">
        <f t="shared" si="8"/>
        <v>0</v>
      </c>
      <c r="DF26" s="251" t="str">
        <f>IFERROR(SUM($BI26:BJ26)/SUM($AW26:AX26),"0")</f>
        <v>0</v>
      </c>
      <c r="DG26" s="252">
        <f>IFERROR(SUM($BI26:BK26)/SUM($AW26:AY26),"0")</f>
        <v>1</v>
      </c>
      <c r="DH26" s="252">
        <f>IFERROR(SUM($BI26:BL26)/SUM($AW26:AZ26),"0")</f>
        <v>1</v>
      </c>
      <c r="DI26" s="252">
        <f>IFERROR(SUM($BI26:BM26)/SUM($AW26:BA26),"0")</f>
        <v>1</v>
      </c>
      <c r="DJ26" s="252">
        <f>IFERROR(SUM($BI26:BN26)/SUM($AW26:BB26),"0")</f>
        <v>1</v>
      </c>
      <c r="DK26" s="252">
        <f>IFERROR(SUM($BI26:BO26)/SUM($AW26:BC26),"0")</f>
        <v>1</v>
      </c>
      <c r="DL26" s="252">
        <f>IFERROR(SUM($BI26:BP26)/SUM($AW26:BD26),"0")</f>
        <v>1</v>
      </c>
      <c r="DM26" s="252">
        <f>IFERROR(SUM($BI26:BQ26)/SUM($AW26:BE26),"0")</f>
        <v>0.66666666666666663</v>
      </c>
      <c r="DN26" s="252">
        <f>IFERROR(SUM($BI26:BR26)/SUM($AW26:BF26),"0")</f>
        <v>0.66666666666666663</v>
      </c>
      <c r="DO26" s="252">
        <f>IFERROR(SUM($BI26:BS26)/SUM($AW26:BG26),"0")</f>
        <v>0.66666666666666663</v>
      </c>
      <c r="DP26" s="253">
        <f>IFERROR(SUM($BI26:BT26)/SUM($AW26:BH26),"0")</f>
        <v>0.5</v>
      </c>
    </row>
    <row r="27" spans="1:120" s="226" customFormat="1" ht="39" customHeight="1" x14ac:dyDescent="0.25">
      <c r="A27" s="381" t="s">
        <v>1227</v>
      </c>
      <c r="B27" s="161" t="s">
        <v>441</v>
      </c>
      <c r="C27" s="161" t="s">
        <v>1094</v>
      </c>
      <c r="D27" s="345" t="s">
        <v>319</v>
      </c>
      <c r="E27" s="162" t="s">
        <v>443</v>
      </c>
      <c r="F27" s="163" t="s">
        <v>1228</v>
      </c>
      <c r="G27" s="161" t="s">
        <v>445</v>
      </c>
      <c r="H27" s="164" t="s">
        <v>1229</v>
      </c>
      <c r="I27" s="164" t="s">
        <v>180</v>
      </c>
      <c r="J27" s="164" t="s">
        <v>447</v>
      </c>
      <c r="K27" s="161" t="s">
        <v>181</v>
      </c>
      <c r="L27" s="164" t="s">
        <v>448</v>
      </c>
      <c r="M27" s="483" t="s">
        <v>406</v>
      </c>
      <c r="N27" s="164"/>
      <c r="O27" s="164"/>
      <c r="P27" s="164" t="s">
        <v>1100</v>
      </c>
      <c r="Q27" s="164" t="s">
        <v>1102</v>
      </c>
      <c r="R27" s="164" t="s">
        <v>1100</v>
      </c>
      <c r="S27" s="164" t="s">
        <v>399</v>
      </c>
      <c r="T27" s="164" t="s">
        <v>1230</v>
      </c>
      <c r="U27" s="164" t="s">
        <v>399</v>
      </c>
      <c r="V27" s="164" t="s">
        <v>1103</v>
      </c>
      <c r="W27" s="164" t="s">
        <v>399</v>
      </c>
      <c r="X27" s="190">
        <v>3791</v>
      </c>
      <c r="Y27" s="164" t="s">
        <v>1104</v>
      </c>
      <c r="Z27" s="166" t="s">
        <v>215</v>
      </c>
      <c r="AA27" s="166" t="s">
        <v>456</v>
      </c>
      <c r="AB27" s="176" t="s">
        <v>1093</v>
      </c>
      <c r="AC27" s="164" t="s">
        <v>261</v>
      </c>
      <c r="AD27" s="164" t="s">
        <v>261</v>
      </c>
      <c r="AE27" s="164" t="s">
        <v>457</v>
      </c>
      <c r="AF27" s="167">
        <v>0</v>
      </c>
      <c r="AG27" s="167">
        <v>0</v>
      </c>
      <c r="AH27" s="167">
        <v>0</v>
      </c>
      <c r="AI27" s="167">
        <v>0</v>
      </c>
      <c r="AJ27" s="167">
        <v>380</v>
      </c>
      <c r="AK27" s="167">
        <v>0</v>
      </c>
      <c r="AL27" s="167">
        <v>0</v>
      </c>
      <c r="AM27" s="167">
        <v>0</v>
      </c>
      <c r="AN27" s="171">
        <v>0</v>
      </c>
      <c r="AO27" s="316">
        <v>0</v>
      </c>
      <c r="AP27" s="512">
        <v>234</v>
      </c>
      <c r="AQ27" s="191">
        <v>0</v>
      </c>
      <c r="AR27" s="221" t="str">
        <f t="shared" si="1"/>
        <v>0</v>
      </c>
      <c r="AS27" s="221" t="str">
        <f t="shared" si="2"/>
        <v>0</v>
      </c>
      <c r="AT27" s="221" t="str">
        <f t="shared" si="3"/>
        <v>0</v>
      </c>
      <c r="AU27" s="221">
        <f t="shared" si="4"/>
        <v>0.61578947368421055</v>
      </c>
      <c r="AV27" s="221" t="str">
        <f t="shared" si="5"/>
        <v>0</v>
      </c>
      <c r="AW27" s="187">
        <v>0</v>
      </c>
      <c r="AX27" s="187">
        <v>0</v>
      </c>
      <c r="AY27" s="187">
        <v>100</v>
      </c>
      <c r="AZ27" s="187">
        <v>0</v>
      </c>
      <c r="BA27" s="187">
        <v>0</v>
      </c>
      <c r="BB27" s="187">
        <v>80</v>
      </c>
      <c r="BC27" s="187">
        <v>0</v>
      </c>
      <c r="BD27" s="187">
        <v>0</v>
      </c>
      <c r="BE27" s="187">
        <v>100</v>
      </c>
      <c r="BF27" s="187">
        <v>0</v>
      </c>
      <c r="BG27" s="187">
        <v>0</v>
      </c>
      <c r="BH27" s="187">
        <v>100</v>
      </c>
      <c r="BI27" s="466">
        <v>0</v>
      </c>
      <c r="BJ27" s="466">
        <v>0</v>
      </c>
      <c r="BK27" s="516">
        <v>124</v>
      </c>
      <c r="BL27" s="466">
        <v>0</v>
      </c>
      <c r="BM27" s="466">
        <v>0</v>
      </c>
      <c r="BN27" s="516">
        <v>110</v>
      </c>
      <c r="BO27" s="466">
        <v>0</v>
      </c>
      <c r="BP27" s="466">
        <v>0</v>
      </c>
      <c r="BQ27" s="466">
        <v>0</v>
      </c>
      <c r="BR27" s="466">
        <v>0</v>
      </c>
      <c r="BS27" s="466">
        <v>0</v>
      </c>
      <c r="BT27" s="466">
        <v>0</v>
      </c>
      <c r="BU27" s="179" t="s">
        <v>1269</v>
      </c>
      <c r="BV27" s="179" t="s">
        <v>1269</v>
      </c>
      <c r="BW27" s="164" t="s">
        <v>1272</v>
      </c>
      <c r="BX27" s="179" t="s">
        <v>1269</v>
      </c>
      <c r="BY27" s="179" t="s">
        <v>1269</v>
      </c>
      <c r="BZ27" s="164" t="s">
        <v>1378</v>
      </c>
      <c r="CA27" s="179" t="s">
        <v>1269</v>
      </c>
      <c r="CB27" s="179" t="s">
        <v>1269</v>
      </c>
      <c r="CC27" s="164"/>
      <c r="CD27" s="179" t="s">
        <v>1269</v>
      </c>
      <c r="CE27" s="179" t="s">
        <v>1269</v>
      </c>
      <c r="CF27" s="164"/>
      <c r="CG27" s="377"/>
      <c r="CH27" s="504">
        <f t="shared" si="9"/>
        <v>146</v>
      </c>
      <c r="CI27" s="176" t="s">
        <v>1413</v>
      </c>
      <c r="CJ27" s="222">
        <v>0</v>
      </c>
      <c r="CK27" s="222">
        <v>0.59</v>
      </c>
      <c r="CL27" s="222">
        <v>0.6</v>
      </c>
      <c r="CM27" s="222">
        <v>0.84</v>
      </c>
      <c r="CN27" s="222">
        <v>0.85</v>
      </c>
      <c r="CO27" s="222">
        <v>1</v>
      </c>
      <c r="CP27" s="191"/>
      <c r="CQ27" s="378" t="str">
        <f t="shared" si="6"/>
        <v>TÁCTICO</v>
      </c>
      <c r="CR27" s="379">
        <f t="shared" si="7"/>
        <v>0.61578947368421055</v>
      </c>
      <c r="CS27" s="380">
        <f>IFERROR(SUM($BI27:BI27)/SUM($AW27:AW27),0)</f>
        <v>0</v>
      </c>
      <c r="CT27" s="380">
        <f>IFERROR(SUM($BI27:BJ27)/SUM($AW27:AX27),0)</f>
        <v>0</v>
      </c>
      <c r="CU27" s="380">
        <f>IFERROR(SUM($BI27:BK27)/SUM($AW27:AY27),0)</f>
        <v>1.24</v>
      </c>
      <c r="CV27" s="380">
        <f>IFERROR(SUM($BI27:BL27)/SUM($AW27:AZ27),0)</f>
        <v>1.24</v>
      </c>
      <c r="CW27" s="380">
        <f>IFERROR(SUM($BI27:BM27)/SUM($AW27:BA27),0)</f>
        <v>1.24</v>
      </c>
      <c r="CX27" s="380">
        <f>IFERROR(SUM($BI27:BN27)/SUM($AW27:BB27),0)</f>
        <v>1.3</v>
      </c>
      <c r="CY27" s="380">
        <f>IFERROR(SUM($BI27:BO27)/SUM($AW27:BC27),0)</f>
        <v>1.3</v>
      </c>
      <c r="CZ27" s="380">
        <f>IFERROR(SUM($BI27:BP27)/SUM($AW27:BD27),0)</f>
        <v>1.3</v>
      </c>
      <c r="DA27" s="380">
        <f>IFERROR(SUM($BI27:BQ27)/SUM($AW27:BE27),0)</f>
        <v>0.83571428571428574</v>
      </c>
      <c r="DB27" s="380">
        <f>IFERROR(SUM($BI27:BR27)/SUM($AW27:BF27),0)</f>
        <v>0.83571428571428574</v>
      </c>
      <c r="DC27" s="380">
        <f>IFERROR(SUM($BI27:BS27)/SUM($AW27:BG27),0)</f>
        <v>0.83571428571428574</v>
      </c>
      <c r="DD27" s="380">
        <f>IFERROR(SUM($BI27:BT27)/SUM($AW27:BH27),0)</f>
        <v>0.61578947368421055</v>
      </c>
      <c r="DE27" s="250" t="str">
        <f t="shared" si="8"/>
        <v>0</v>
      </c>
      <c r="DF27" s="251" t="str">
        <f>IFERROR(SUM($BI27:BJ27)/SUM($AW27:AX27),"0")</f>
        <v>0</v>
      </c>
      <c r="DG27" s="252">
        <f>IFERROR(SUM($BI27:BK27)/SUM($AW27:AY27),"0")</f>
        <v>1.24</v>
      </c>
      <c r="DH27" s="252">
        <f>IFERROR(SUM($BI27:BL27)/SUM($AW27:AZ27),"0")</f>
        <v>1.24</v>
      </c>
      <c r="DI27" s="252">
        <f>IFERROR(SUM($BI27:BM27)/SUM($AW27:BA27),"0")</f>
        <v>1.24</v>
      </c>
      <c r="DJ27" s="252">
        <f>IFERROR(SUM($BI27:BN27)/SUM($AW27:BB27),"0")</f>
        <v>1.3</v>
      </c>
      <c r="DK27" s="252">
        <f>IFERROR(SUM($BI27:BO27)/SUM($AW27:BC27),"0")</f>
        <v>1.3</v>
      </c>
      <c r="DL27" s="252">
        <f>IFERROR(SUM($BI27:BP27)/SUM($AW27:BD27),"0")</f>
        <v>1.3</v>
      </c>
      <c r="DM27" s="252">
        <f>IFERROR(SUM($BI27:BQ27)/SUM($AW27:BE27),"0")</f>
        <v>0.83571428571428574</v>
      </c>
      <c r="DN27" s="252">
        <f>IFERROR(SUM($BI27:BR27)/SUM($AW27:BF27),"0")</f>
        <v>0.83571428571428574</v>
      </c>
      <c r="DO27" s="252">
        <f>IFERROR(SUM($BI27:BS27)/SUM($AW27:BG27),"0")</f>
        <v>0.83571428571428574</v>
      </c>
      <c r="DP27" s="253">
        <f>IFERROR(SUM($BI27:BT27)/SUM($AW27:BH27),"0")</f>
        <v>0.61578947368421055</v>
      </c>
    </row>
    <row r="28" spans="1:120" s="226" customFormat="1" ht="39" customHeight="1" x14ac:dyDescent="0.25">
      <c r="A28" s="381" t="s">
        <v>1231</v>
      </c>
      <c r="B28" s="161" t="s">
        <v>441</v>
      </c>
      <c r="C28" s="161" t="s">
        <v>1095</v>
      </c>
      <c r="D28" s="345" t="s">
        <v>319</v>
      </c>
      <c r="E28" s="162" t="s">
        <v>443</v>
      </c>
      <c r="F28" s="163" t="s">
        <v>1098</v>
      </c>
      <c r="G28" s="161" t="s">
        <v>445</v>
      </c>
      <c r="H28" s="164" t="s">
        <v>1099</v>
      </c>
      <c r="I28" s="164" t="s">
        <v>180</v>
      </c>
      <c r="J28" s="164" t="s">
        <v>447</v>
      </c>
      <c r="K28" s="161" t="s">
        <v>181</v>
      </c>
      <c r="L28" s="164" t="s">
        <v>448</v>
      </c>
      <c r="M28" s="483" t="s">
        <v>406</v>
      </c>
      <c r="N28" s="164"/>
      <c r="O28" s="164"/>
      <c r="P28" s="164" t="s">
        <v>1101</v>
      </c>
      <c r="Q28" s="164" t="s">
        <v>584</v>
      </c>
      <c r="R28" s="164" t="s">
        <v>1105</v>
      </c>
      <c r="S28" s="164" t="s">
        <v>399</v>
      </c>
      <c r="T28" s="164" t="s">
        <v>1106</v>
      </c>
      <c r="U28" s="164" t="s">
        <v>399</v>
      </c>
      <c r="V28" s="164" t="s">
        <v>1107</v>
      </c>
      <c r="W28" s="164" t="s">
        <v>399</v>
      </c>
      <c r="X28" s="190">
        <v>3</v>
      </c>
      <c r="Y28" s="164" t="s">
        <v>1108</v>
      </c>
      <c r="Z28" s="166" t="s">
        <v>193</v>
      </c>
      <c r="AA28" s="166" t="s">
        <v>456</v>
      </c>
      <c r="AB28" s="176" t="s">
        <v>1109</v>
      </c>
      <c r="AC28" s="164" t="s">
        <v>261</v>
      </c>
      <c r="AD28" s="164" t="s">
        <v>261</v>
      </c>
      <c r="AE28" s="164" t="s">
        <v>457</v>
      </c>
      <c r="AF28" s="167">
        <v>0</v>
      </c>
      <c r="AG28" s="167">
        <v>0</v>
      </c>
      <c r="AH28" s="167">
        <v>0</v>
      </c>
      <c r="AI28" s="167">
        <v>0</v>
      </c>
      <c r="AJ28" s="167">
        <v>3</v>
      </c>
      <c r="AK28" s="167">
        <v>0</v>
      </c>
      <c r="AL28" s="167">
        <v>0</v>
      </c>
      <c r="AM28" s="167">
        <v>0</v>
      </c>
      <c r="AN28" s="171">
        <v>0</v>
      </c>
      <c r="AO28" s="316">
        <v>0</v>
      </c>
      <c r="AP28" s="512">
        <v>3</v>
      </c>
      <c r="AQ28" s="191">
        <v>0</v>
      </c>
      <c r="AR28" s="221" t="str">
        <f t="shared" si="1"/>
        <v>0</v>
      </c>
      <c r="AS28" s="221" t="str">
        <f t="shared" si="2"/>
        <v>0</v>
      </c>
      <c r="AT28" s="221" t="str">
        <f t="shared" si="3"/>
        <v>0</v>
      </c>
      <c r="AU28" s="221">
        <f t="shared" si="4"/>
        <v>1</v>
      </c>
      <c r="AV28" s="221" t="str">
        <f t="shared" si="5"/>
        <v>0</v>
      </c>
      <c r="AW28" s="187">
        <v>0</v>
      </c>
      <c r="AX28" s="187">
        <v>0</v>
      </c>
      <c r="AY28" s="187">
        <v>3</v>
      </c>
      <c r="AZ28" s="187">
        <v>0</v>
      </c>
      <c r="BA28" s="187">
        <v>0</v>
      </c>
      <c r="BB28" s="187">
        <v>3</v>
      </c>
      <c r="BC28" s="187">
        <v>0</v>
      </c>
      <c r="BD28" s="187">
        <v>0</v>
      </c>
      <c r="BE28" s="187">
        <v>3</v>
      </c>
      <c r="BF28" s="187">
        <v>0</v>
      </c>
      <c r="BG28" s="187">
        <v>0</v>
      </c>
      <c r="BH28" s="187">
        <v>3</v>
      </c>
      <c r="BI28" s="466">
        <v>0</v>
      </c>
      <c r="BJ28" s="466">
        <v>0</v>
      </c>
      <c r="BK28" s="466">
        <v>3</v>
      </c>
      <c r="BL28" s="466">
        <v>0</v>
      </c>
      <c r="BM28" s="466">
        <v>0</v>
      </c>
      <c r="BN28" s="516">
        <v>3</v>
      </c>
      <c r="BO28" s="466">
        <v>0</v>
      </c>
      <c r="BP28" s="466">
        <v>0</v>
      </c>
      <c r="BQ28" s="466">
        <v>0</v>
      </c>
      <c r="BR28" s="466">
        <v>0</v>
      </c>
      <c r="BS28" s="466">
        <v>0</v>
      </c>
      <c r="BT28" s="466">
        <v>0</v>
      </c>
      <c r="BU28" s="179" t="s">
        <v>1269</v>
      </c>
      <c r="BV28" s="179" t="s">
        <v>1269</v>
      </c>
      <c r="BW28" s="164" t="s">
        <v>1273</v>
      </c>
      <c r="BX28" s="179" t="s">
        <v>1269</v>
      </c>
      <c r="BY28" s="179" t="s">
        <v>1269</v>
      </c>
      <c r="BZ28" s="164" t="s">
        <v>1379</v>
      </c>
      <c r="CA28" s="179" t="s">
        <v>1269</v>
      </c>
      <c r="CB28" s="179" t="s">
        <v>1269</v>
      </c>
      <c r="CC28" s="164"/>
      <c r="CD28" s="179" t="s">
        <v>1269</v>
      </c>
      <c r="CE28" s="179" t="s">
        <v>1269</v>
      </c>
      <c r="CF28" s="164"/>
      <c r="CG28" s="377"/>
      <c r="CH28" s="504">
        <f t="shared" si="9"/>
        <v>0</v>
      </c>
      <c r="CI28" s="176" t="s">
        <v>1413</v>
      </c>
      <c r="CJ28" s="222">
        <v>0</v>
      </c>
      <c r="CK28" s="222">
        <v>0.59</v>
      </c>
      <c r="CL28" s="222">
        <v>0.6</v>
      </c>
      <c r="CM28" s="222">
        <v>0.84</v>
      </c>
      <c r="CN28" s="222">
        <v>0.85</v>
      </c>
      <c r="CO28" s="222">
        <v>1</v>
      </c>
      <c r="CP28" s="191"/>
      <c r="CQ28" s="378" t="str">
        <f t="shared" si="6"/>
        <v>TÁCTICO</v>
      </c>
      <c r="CR28" s="379">
        <f t="shared" si="7"/>
        <v>0.5</v>
      </c>
      <c r="CS28" s="380">
        <f>IFERROR(SUM($BI28:BI28)/SUM($AW28:AW28),0)</f>
        <v>0</v>
      </c>
      <c r="CT28" s="380">
        <f>IFERROR(SUM($BI28:BJ28)/SUM($AW28:AX28),0)</f>
        <v>0</v>
      </c>
      <c r="CU28" s="380">
        <f>IFERROR(SUM($BI28:BK28)/SUM($AW28:AY28),0)</f>
        <v>1</v>
      </c>
      <c r="CV28" s="380">
        <f>IFERROR(SUM($BI28:BL28)/SUM($AW28:AZ28),0)</f>
        <v>1</v>
      </c>
      <c r="CW28" s="380">
        <f>IFERROR(SUM($BI28:BM28)/SUM($AW28:BA28),0)</f>
        <v>1</v>
      </c>
      <c r="CX28" s="380">
        <f>IFERROR(SUM($BI28:BN28)/SUM($AW28:BB28),0)</f>
        <v>1</v>
      </c>
      <c r="CY28" s="380">
        <f>IFERROR(SUM($BI28:BO28)/SUM($AW28:BC28),0)</f>
        <v>1</v>
      </c>
      <c r="CZ28" s="380">
        <f>IFERROR(SUM($BI28:BP28)/SUM($AW28:BD28),0)</f>
        <v>1</v>
      </c>
      <c r="DA28" s="380">
        <f>IFERROR(SUM($BI28:BQ28)/SUM($AW28:BE28),0)</f>
        <v>0.66666666666666663</v>
      </c>
      <c r="DB28" s="380">
        <f>IFERROR(SUM($BI28:BR28)/SUM($AW28:BF28),0)</f>
        <v>0.66666666666666663</v>
      </c>
      <c r="DC28" s="380">
        <f>IFERROR(SUM($BI28:BS28)/SUM($AW28:BG28),0)</f>
        <v>0.66666666666666663</v>
      </c>
      <c r="DD28" s="380">
        <f>IFERROR(SUM($BI28:BT28)/SUM($AW28:BH28),0)</f>
        <v>0.5</v>
      </c>
      <c r="DE28" s="250" t="str">
        <f t="shared" si="8"/>
        <v>0</v>
      </c>
      <c r="DF28" s="251" t="str">
        <f>IFERROR(SUM($BI28:BJ28)/SUM($AW28:AX28),"0")</f>
        <v>0</v>
      </c>
      <c r="DG28" s="252">
        <f>IFERROR(SUM($BI28:BK28)/SUM($AW28:AY28),"0")</f>
        <v>1</v>
      </c>
      <c r="DH28" s="252">
        <f>IFERROR(SUM($BI28:BL28)/SUM($AW28:AZ28),"0")</f>
        <v>1</v>
      </c>
      <c r="DI28" s="252">
        <f>IFERROR(SUM($BI28:BM28)/SUM($AW28:BA28),"0")</f>
        <v>1</v>
      </c>
      <c r="DJ28" s="252">
        <f>IFERROR(SUM($BI28:BN28)/SUM($AW28:BB28),"0")</f>
        <v>1</v>
      </c>
      <c r="DK28" s="252">
        <f>IFERROR(SUM($BI28:BO28)/SUM($AW28:BC28),"0")</f>
        <v>1</v>
      </c>
      <c r="DL28" s="252">
        <f>IFERROR(SUM($BI28:BP28)/SUM($AW28:BD28),"0")</f>
        <v>1</v>
      </c>
      <c r="DM28" s="252">
        <f>IFERROR(SUM($BI28:BQ28)/SUM($AW28:BE28),"0")</f>
        <v>0.66666666666666663</v>
      </c>
      <c r="DN28" s="252">
        <f>IFERROR(SUM($BI28:BR28)/SUM($AW28:BF28),"0")</f>
        <v>0.66666666666666663</v>
      </c>
      <c r="DO28" s="252">
        <f>IFERROR(SUM($BI28:BS28)/SUM($AW28:BG28),"0")</f>
        <v>0.66666666666666663</v>
      </c>
      <c r="DP28" s="253">
        <f>IFERROR(SUM($BI28:BT28)/SUM($AW28:BH28),"0")</f>
        <v>0.5</v>
      </c>
    </row>
    <row r="29" spans="1:120" s="226" customFormat="1" ht="39" customHeight="1" x14ac:dyDescent="0.25">
      <c r="A29" s="177" t="s">
        <v>1232</v>
      </c>
      <c r="B29" s="161" t="s">
        <v>386</v>
      </c>
      <c r="C29" s="161" t="s">
        <v>481</v>
      </c>
      <c r="D29" s="161" t="s">
        <v>470</v>
      </c>
      <c r="E29" s="162" t="s">
        <v>443</v>
      </c>
      <c r="F29" s="189" t="s">
        <v>1142</v>
      </c>
      <c r="G29" s="161" t="s">
        <v>386</v>
      </c>
      <c r="H29" s="176" t="s">
        <v>483</v>
      </c>
      <c r="I29" s="164" t="s">
        <v>357</v>
      </c>
      <c r="J29" s="176" t="s">
        <v>391</v>
      </c>
      <c r="K29" s="176" t="s">
        <v>181</v>
      </c>
      <c r="L29" s="176" t="s">
        <v>448</v>
      </c>
      <c r="M29" s="176" t="s">
        <v>406</v>
      </c>
      <c r="N29" s="176"/>
      <c r="O29" s="176"/>
      <c r="P29" s="176" t="s">
        <v>484</v>
      </c>
      <c r="Q29" s="176" t="s">
        <v>485</v>
      </c>
      <c r="R29" s="176" t="s">
        <v>486</v>
      </c>
      <c r="S29" s="176" t="s">
        <v>487</v>
      </c>
      <c r="T29" s="176" t="s">
        <v>488</v>
      </c>
      <c r="U29" s="176" t="s">
        <v>489</v>
      </c>
      <c r="V29" s="176" t="s">
        <v>490</v>
      </c>
      <c r="W29" s="176" t="s">
        <v>490</v>
      </c>
      <c r="X29" s="176">
        <v>0</v>
      </c>
      <c r="Y29" s="176">
        <v>0</v>
      </c>
      <c r="Z29" s="166" t="s">
        <v>193</v>
      </c>
      <c r="AA29" s="176" t="s">
        <v>456</v>
      </c>
      <c r="AB29" s="176" t="s">
        <v>195</v>
      </c>
      <c r="AC29" s="176" t="s">
        <v>491</v>
      </c>
      <c r="AD29" s="176" t="s">
        <v>491</v>
      </c>
      <c r="AE29" s="176" t="s">
        <v>401</v>
      </c>
      <c r="AF29" s="164">
        <v>0</v>
      </c>
      <c r="AG29" s="191">
        <v>98</v>
      </c>
      <c r="AH29" s="428">
        <v>98</v>
      </c>
      <c r="AI29" s="305">
        <v>100</v>
      </c>
      <c r="AJ29" s="191">
        <v>98</v>
      </c>
      <c r="AK29" s="191">
        <v>98</v>
      </c>
      <c r="AL29" s="164">
        <v>0</v>
      </c>
      <c r="AM29" s="171">
        <v>98</v>
      </c>
      <c r="AN29" s="433">
        <v>99</v>
      </c>
      <c r="AO29" s="449">
        <v>100</v>
      </c>
      <c r="AP29" s="512">
        <v>100</v>
      </c>
      <c r="AQ29" s="191">
        <v>0</v>
      </c>
      <c r="AR29" s="123" t="str">
        <f t="shared" si="1"/>
        <v>0</v>
      </c>
      <c r="AS29" s="123">
        <f t="shared" si="2"/>
        <v>1</v>
      </c>
      <c r="AT29" s="123">
        <f t="shared" si="3"/>
        <v>1</v>
      </c>
      <c r="AU29" s="123">
        <f t="shared" si="4"/>
        <v>1.0204081632653061</v>
      </c>
      <c r="AV29" s="123">
        <f t="shared" si="5"/>
        <v>0</v>
      </c>
      <c r="AW29" s="187">
        <v>0</v>
      </c>
      <c r="AX29" s="187">
        <v>0</v>
      </c>
      <c r="AY29" s="461">
        <v>0.98</v>
      </c>
      <c r="AZ29" s="187">
        <v>0</v>
      </c>
      <c r="BA29" s="187">
        <v>0</v>
      </c>
      <c r="BB29" s="461">
        <v>0.98</v>
      </c>
      <c r="BC29" s="187">
        <v>0</v>
      </c>
      <c r="BD29" s="187">
        <v>0</v>
      </c>
      <c r="BE29" s="461">
        <v>0.98</v>
      </c>
      <c r="BF29" s="187">
        <v>0</v>
      </c>
      <c r="BG29" s="187">
        <v>0</v>
      </c>
      <c r="BH29" s="461">
        <v>0.98</v>
      </c>
      <c r="BI29" s="461">
        <v>0</v>
      </c>
      <c r="BJ29" s="461">
        <v>0</v>
      </c>
      <c r="BK29" s="463">
        <v>1</v>
      </c>
      <c r="BL29" s="461">
        <v>0</v>
      </c>
      <c r="BM29" s="461">
        <v>0</v>
      </c>
      <c r="BN29" s="523">
        <v>1</v>
      </c>
      <c r="BO29" s="461">
        <v>0</v>
      </c>
      <c r="BP29" s="461">
        <v>0</v>
      </c>
      <c r="BQ29" s="461">
        <v>0</v>
      </c>
      <c r="BR29" s="461">
        <v>0</v>
      </c>
      <c r="BS29" s="461">
        <v>0</v>
      </c>
      <c r="BT29" s="461">
        <v>0</v>
      </c>
      <c r="BU29" s="179" t="s">
        <v>1269</v>
      </c>
      <c r="BV29" s="179" t="s">
        <v>1269</v>
      </c>
      <c r="BW29" s="179" t="s">
        <v>1274</v>
      </c>
      <c r="BX29" s="179" t="s">
        <v>1269</v>
      </c>
      <c r="BY29" s="179" t="s">
        <v>1269</v>
      </c>
      <c r="BZ29" s="179" t="s">
        <v>1380</v>
      </c>
      <c r="CA29" s="179" t="s">
        <v>1269</v>
      </c>
      <c r="CB29" s="179" t="s">
        <v>1269</v>
      </c>
      <c r="CC29" s="179"/>
      <c r="CD29" s="179" t="s">
        <v>1269</v>
      </c>
      <c r="CE29" s="179" t="s">
        <v>1269</v>
      </c>
      <c r="CF29" s="179"/>
      <c r="CG29" s="92"/>
      <c r="CH29" s="504">
        <f t="shared" si="9"/>
        <v>-2</v>
      </c>
      <c r="CI29" s="74" t="s">
        <v>1413</v>
      </c>
      <c r="CJ29" s="74"/>
      <c r="CK29" s="74"/>
      <c r="CL29" s="74"/>
      <c r="CM29" s="74"/>
      <c r="CN29" s="74"/>
      <c r="CO29" s="74"/>
      <c r="CP29" s="213"/>
      <c r="CQ29" s="208" t="str">
        <f t="shared" si="6"/>
        <v>OPERATIVO</v>
      </c>
      <c r="CR29" s="215">
        <f t="shared" si="7"/>
        <v>0.51020408163265307</v>
      </c>
      <c r="CS29" s="216">
        <f>IFERROR(SUM($BI29:BI29)/SUM($AW29:AW29),0)</f>
        <v>0</v>
      </c>
      <c r="CT29" s="216">
        <f>IFERROR(SUM($BI29:BJ29)/SUM($AW29:AX29),0)</f>
        <v>0</v>
      </c>
      <c r="CU29" s="216">
        <f>IFERROR(SUM($BI29:BK29)/SUM($AW29:AY29),0)</f>
        <v>1.0204081632653061</v>
      </c>
      <c r="CV29" s="216">
        <f>IFERROR(SUM($BI29:BL29)/SUM($AW29:AZ29),0)</f>
        <v>1.0204081632653061</v>
      </c>
      <c r="CW29" s="216">
        <f>IFERROR(SUM($BI29:BM29)/SUM($AW29:BA29),0)</f>
        <v>1.0204081632653061</v>
      </c>
      <c r="CX29" s="216">
        <f>IFERROR(SUM($BI29:BN29)/SUM($AW29:BB29),0)</f>
        <v>1.0204081632653061</v>
      </c>
      <c r="CY29" s="216">
        <f>IFERROR(SUM($BI29:BO29)/SUM($AW29:BC29),0)</f>
        <v>1.0204081632653061</v>
      </c>
      <c r="CZ29" s="216">
        <f>IFERROR(SUM($BI29:BP29)/SUM($AW29:BD29),0)</f>
        <v>1.0204081632653061</v>
      </c>
      <c r="DA29" s="216">
        <f>IFERROR(SUM($BI29:BQ29)/SUM($AW29:BE29),0)</f>
        <v>0.68027210884353739</v>
      </c>
      <c r="DB29" s="216">
        <f>IFERROR(SUM($BI29:BR29)/SUM($AW29:BF29),0)</f>
        <v>0.68027210884353739</v>
      </c>
      <c r="DC29" s="216">
        <f>IFERROR(SUM($BI29:BS29)/SUM($AW29:BG29),0)</f>
        <v>0.68027210884353739</v>
      </c>
      <c r="DD29" s="216">
        <f>IFERROR(SUM($BI29:BT29)/SUM($AW29:BH29),0)</f>
        <v>0.51020408163265307</v>
      </c>
      <c r="DE29" s="254" t="str">
        <f t="shared" si="8"/>
        <v>0</v>
      </c>
      <c r="DF29" s="255" t="str">
        <f>IFERROR(SUM($BI29:BJ29)/SUM($AW29:AX29),"0")</f>
        <v>0</v>
      </c>
      <c r="DG29" s="256">
        <f>IFERROR(SUM($BI29:BK29)/SUM($AW29:AY29),"0")</f>
        <v>1.0204081632653061</v>
      </c>
      <c r="DH29" s="256">
        <f>IFERROR(SUM($BI29:BL29)/SUM($AW29:AZ29),"0")</f>
        <v>1.0204081632653061</v>
      </c>
      <c r="DI29" s="256">
        <f>IFERROR(SUM($BI29:BM29)/SUM($AW29:BA29),"0")</f>
        <v>1.0204081632653061</v>
      </c>
      <c r="DJ29" s="256">
        <f>IFERROR(SUM($BI29:BN29)/SUM($AW29:BB29),"0")</f>
        <v>1.0204081632653061</v>
      </c>
      <c r="DK29" s="256">
        <f>IFERROR(SUM($BI29:BO29)/SUM($AW29:BC29),"0")</f>
        <v>1.0204081632653061</v>
      </c>
      <c r="DL29" s="256">
        <f>IFERROR(SUM($BI29:BP29)/SUM($AW29:BD29),"0")</f>
        <v>1.0204081632653061</v>
      </c>
      <c r="DM29" s="256">
        <f>IFERROR(SUM($BI29:BQ29)/SUM($AW29:BE29),"0")</f>
        <v>0.68027210884353739</v>
      </c>
      <c r="DN29" s="256">
        <f>IFERROR(SUM($BI29:BR29)/SUM($AW29:BF29),"0")</f>
        <v>0.68027210884353739</v>
      </c>
      <c r="DO29" s="256">
        <f>IFERROR(SUM($BI29:BS29)/SUM($AW29:BG29),"0")</f>
        <v>0.68027210884353739</v>
      </c>
      <c r="DP29" s="257">
        <f>IFERROR(SUM($BI29:BT29)/SUM($AW29:BH29),"0")</f>
        <v>0.51020408163265307</v>
      </c>
    </row>
    <row r="30" spans="1:120" s="226" customFormat="1" ht="39" customHeight="1" x14ac:dyDescent="0.25">
      <c r="A30" s="182" t="s">
        <v>492</v>
      </c>
      <c r="B30" s="161" t="s">
        <v>386</v>
      </c>
      <c r="C30" s="161" t="s">
        <v>493</v>
      </c>
      <c r="D30" s="161" t="s">
        <v>470</v>
      </c>
      <c r="E30" s="162" t="s">
        <v>443</v>
      </c>
      <c r="F30" s="189" t="s">
        <v>494</v>
      </c>
      <c r="G30" s="161" t="s">
        <v>386</v>
      </c>
      <c r="H30" s="176" t="s">
        <v>495</v>
      </c>
      <c r="I30" s="164" t="s">
        <v>357</v>
      </c>
      <c r="J30" s="176" t="s">
        <v>391</v>
      </c>
      <c r="K30" s="176" t="s">
        <v>181</v>
      </c>
      <c r="L30" s="176" t="s">
        <v>448</v>
      </c>
      <c r="M30" s="176"/>
      <c r="N30" s="176"/>
      <c r="O30" s="176"/>
      <c r="P30" s="176" t="s">
        <v>496</v>
      </c>
      <c r="Q30" s="176" t="s">
        <v>420</v>
      </c>
      <c r="R30" s="176" t="s">
        <v>497</v>
      </c>
      <c r="S30" s="176" t="s">
        <v>498</v>
      </c>
      <c r="T30" s="176" t="s">
        <v>499</v>
      </c>
      <c r="U30" s="176" t="s">
        <v>500</v>
      </c>
      <c r="V30" s="176" t="s">
        <v>425</v>
      </c>
      <c r="W30" s="176" t="s">
        <v>425</v>
      </c>
      <c r="X30" s="176">
        <v>0</v>
      </c>
      <c r="Y30" s="176">
        <v>0</v>
      </c>
      <c r="Z30" s="166" t="s">
        <v>193</v>
      </c>
      <c r="AA30" s="176" t="s">
        <v>456</v>
      </c>
      <c r="AB30" s="176" t="s">
        <v>217</v>
      </c>
      <c r="AC30" s="176" t="s">
        <v>501</v>
      </c>
      <c r="AD30" s="176" t="s">
        <v>501</v>
      </c>
      <c r="AE30" s="176" t="s">
        <v>401</v>
      </c>
      <c r="AF30" s="164">
        <v>0</v>
      </c>
      <c r="AG30" s="191">
        <v>100</v>
      </c>
      <c r="AH30" s="428">
        <v>100</v>
      </c>
      <c r="AI30" s="305">
        <v>100</v>
      </c>
      <c r="AJ30" s="191">
        <v>100</v>
      </c>
      <c r="AK30" s="191">
        <v>100</v>
      </c>
      <c r="AL30" s="164">
        <v>0</v>
      </c>
      <c r="AM30" s="171">
        <v>100</v>
      </c>
      <c r="AN30" s="440">
        <v>100</v>
      </c>
      <c r="AO30" s="432">
        <v>100</v>
      </c>
      <c r="AP30" s="515">
        <v>100</v>
      </c>
      <c r="AQ30" s="191">
        <v>0</v>
      </c>
      <c r="AR30" s="123" t="str">
        <f t="shared" si="1"/>
        <v>0</v>
      </c>
      <c r="AS30" s="123">
        <f t="shared" si="2"/>
        <v>1</v>
      </c>
      <c r="AT30" s="123">
        <f t="shared" si="3"/>
        <v>1</v>
      </c>
      <c r="AU30" s="123">
        <f t="shared" si="4"/>
        <v>1</v>
      </c>
      <c r="AV30" s="123">
        <f t="shared" si="5"/>
        <v>0</v>
      </c>
      <c r="AW30" s="187">
        <v>0</v>
      </c>
      <c r="AX30" s="187">
        <v>0</v>
      </c>
      <c r="AY30" s="473">
        <v>1</v>
      </c>
      <c r="AZ30" s="187">
        <v>0</v>
      </c>
      <c r="BA30" s="187">
        <v>0</v>
      </c>
      <c r="BB30" s="473">
        <v>1</v>
      </c>
      <c r="BC30" s="187">
        <v>0</v>
      </c>
      <c r="BD30" s="187">
        <v>0</v>
      </c>
      <c r="BE30" s="473">
        <v>1</v>
      </c>
      <c r="BF30" s="187">
        <v>0</v>
      </c>
      <c r="BG30" s="187">
        <v>0</v>
      </c>
      <c r="BH30" s="473">
        <v>1</v>
      </c>
      <c r="BI30" s="461">
        <v>0</v>
      </c>
      <c r="BJ30" s="461">
        <v>0</v>
      </c>
      <c r="BK30" s="461">
        <v>1</v>
      </c>
      <c r="BL30" s="461">
        <v>0</v>
      </c>
      <c r="BM30" s="461">
        <v>0</v>
      </c>
      <c r="BN30" s="523">
        <v>1</v>
      </c>
      <c r="BO30" s="461">
        <v>0</v>
      </c>
      <c r="BP30" s="461">
        <v>0</v>
      </c>
      <c r="BQ30" s="461">
        <v>0</v>
      </c>
      <c r="BR30" s="461">
        <v>0</v>
      </c>
      <c r="BS30" s="461">
        <v>0</v>
      </c>
      <c r="BT30" s="461">
        <v>0</v>
      </c>
      <c r="BU30" s="179" t="s">
        <v>1269</v>
      </c>
      <c r="BV30" s="179" t="s">
        <v>1269</v>
      </c>
      <c r="BW30" s="179" t="s">
        <v>1275</v>
      </c>
      <c r="BX30" s="179" t="s">
        <v>1269</v>
      </c>
      <c r="BY30" s="179" t="s">
        <v>1269</v>
      </c>
      <c r="BZ30" s="179" t="s">
        <v>1381</v>
      </c>
      <c r="CA30" s="179" t="s">
        <v>1269</v>
      </c>
      <c r="CB30" s="179" t="s">
        <v>1269</v>
      </c>
      <c r="CC30" s="179"/>
      <c r="CD30" s="179" t="s">
        <v>1269</v>
      </c>
      <c r="CE30" s="179" t="s">
        <v>1269</v>
      </c>
      <c r="CF30" s="179"/>
      <c r="CG30" s="92"/>
      <c r="CH30" s="504">
        <f t="shared" si="9"/>
        <v>0</v>
      </c>
      <c r="CI30" s="74" t="s">
        <v>1413</v>
      </c>
      <c r="CJ30" s="74"/>
      <c r="CK30" s="74"/>
      <c r="CL30" s="74"/>
      <c r="CM30" s="74"/>
      <c r="CN30" s="74"/>
      <c r="CO30" s="74"/>
      <c r="CP30" s="212"/>
      <c r="CQ30" s="208" t="str">
        <f t="shared" si="6"/>
        <v>OPERATIVO</v>
      </c>
      <c r="CR30" s="215">
        <f t="shared" si="7"/>
        <v>0.5</v>
      </c>
      <c r="CS30" s="216">
        <f>IFERROR(SUM($BI30:BI30)/SUM($AW30:AW30),0)</f>
        <v>0</v>
      </c>
      <c r="CT30" s="216">
        <f>IFERROR(SUM($BI30:BJ30)/SUM($AW30:AX30),0)</f>
        <v>0</v>
      </c>
      <c r="CU30" s="216">
        <f>IFERROR(SUM($BI30:BK30)/SUM($AW30:AY30),0)</f>
        <v>1</v>
      </c>
      <c r="CV30" s="216">
        <f>IFERROR(SUM($BI30:BL30)/SUM($AW30:AZ30),0)</f>
        <v>1</v>
      </c>
      <c r="CW30" s="216">
        <f>IFERROR(SUM($BI30:BM30)/SUM($AW30:BA30),0)</f>
        <v>1</v>
      </c>
      <c r="CX30" s="216">
        <f>IFERROR(SUM($BI30:BN30)/SUM($AW30:BB30),0)</f>
        <v>1</v>
      </c>
      <c r="CY30" s="216">
        <f>IFERROR(SUM($BI30:BO30)/SUM($AW30:BC30),0)</f>
        <v>1</v>
      </c>
      <c r="CZ30" s="216">
        <f>IFERROR(SUM($BI30:BP30)/SUM($AW30:BD30),0)</f>
        <v>1</v>
      </c>
      <c r="DA30" s="216">
        <f>IFERROR(SUM($BI30:BQ30)/SUM($AW30:BE30),0)</f>
        <v>0.66666666666666663</v>
      </c>
      <c r="DB30" s="216">
        <f>IFERROR(SUM($BI30:BR30)/SUM($AW30:BF30),0)</f>
        <v>0.66666666666666663</v>
      </c>
      <c r="DC30" s="216">
        <f>IFERROR(SUM($BI30:BS30)/SUM($AW30:BG30),0)</f>
        <v>0.66666666666666663</v>
      </c>
      <c r="DD30" s="216">
        <f>IFERROR(SUM($BI30:BT30)/SUM($AW30:BH30),0)</f>
        <v>0.5</v>
      </c>
      <c r="DE30" s="250" t="str">
        <f t="shared" si="8"/>
        <v>0</v>
      </c>
      <c r="DF30" s="251" t="str">
        <f>IFERROR(SUM($BI30:BJ30)/SUM($AW30:AX30),"0")</f>
        <v>0</v>
      </c>
      <c r="DG30" s="252">
        <f>IFERROR(SUM($BI30:BK30)/SUM($AW30:AY30),"0")</f>
        <v>1</v>
      </c>
      <c r="DH30" s="252">
        <f>IFERROR(SUM($BI30:BL30)/SUM($AW30:AZ30),"0")</f>
        <v>1</v>
      </c>
      <c r="DI30" s="252">
        <f>IFERROR(SUM($BI30:BM30)/SUM($AW30:BA30),"0")</f>
        <v>1</v>
      </c>
      <c r="DJ30" s="252">
        <f>IFERROR(SUM($BI30:BN30)/SUM($AW30:BB30),"0")</f>
        <v>1</v>
      </c>
      <c r="DK30" s="252">
        <f>IFERROR(SUM($BI30:BO30)/SUM($AW30:BC30),"0")</f>
        <v>1</v>
      </c>
      <c r="DL30" s="252">
        <f>IFERROR(SUM($BI30:BP30)/SUM($AW30:BD30),"0")</f>
        <v>1</v>
      </c>
      <c r="DM30" s="252">
        <f>IFERROR(SUM($BI30:BQ30)/SUM($AW30:BE30),"0")</f>
        <v>0.66666666666666663</v>
      </c>
      <c r="DN30" s="252">
        <f>IFERROR(SUM($BI30:BR30)/SUM($AW30:BF30),"0")</f>
        <v>0.66666666666666663</v>
      </c>
      <c r="DO30" s="252">
        <f>IFERROR(SUM($BI30:BS30)/SUM($AW30:BG30),"0")</f>
        <v>0.66666666666666663</v>
      </c>
      <c r="DP30" s="253">
        <f>IFERROR(SUM($BI30:BT30)/SUM($AW30:BH30),"0")</f>
        <v>0.5</v>
      </c>
    </row>
    <row r="31" spans="1:120" s="226" customFormat="1" ht="39" customHeight="1" x14ac:dyDescent="0.25">
      <c r="A31" s="182" t="s">
        <v>492</v>
      </c>
      <c r="B31" s="161" t="s">
        <v>386</v>
      </c>
      <c r="C31" s="161" t="s">
        <v>502</v>
      </c>
      <c r="D31" s="161" t="s">
        <v>319</v>
      </c>
      <c r="E31" s="162" t="s">
        <v>443</v>
      </c>
      <c r="F31" s="502" t="s">
        <v>503</v>
      </c>
      <c r="G31" s="161" t="s">
        <v>386</v>
      </c>
      <c r="H31" s="176" t="s">
        <v>504</v>
      </c>
      <c r="I31" s="164" t="s">
        <v>390</v>
      </c>
      <c r="J31" s="176" t="s">
        <v>391</v>
      </c>
      <c r="K31" s="176" t="s">
        <v>181</v>
      </c>
      <c r="L31" s="176" t="s">
        <v>448</v>
      </c>
      <c r="M31" s="176" t="s">
        <v>406</v>
      </c>
      <c r="N31" s="176"/>
      <c r="O31" s="176"/>
      <c r="P31" s="176" t="s">
        <v>505</v>
      </c>
      <c r="Q31" s="176" t="s">
        <v>506</v>
      </c>
      <c r="R31" s="176" t="s">
        <v>507</v>
      </c>
      <c r="S31" s="176" t="s">
        <v>508</v>
      </c>
      <c r="T31" s="176" t="s">
        <v>509</v>
      </c>
      <c r="U31" s="176" t="s">
        <v>510</v>
      </c>
      <c r="V31" s="176" t="s">
        <v>511</v>
      </c>
      <c r="W31" s="176" t="s">
        <v>511</v>
      </c>
      <c r="X31" s="176">
        <v>0</v>
      </c>
      <c r="Y31" s="176" t="s">
        <v>274</v>
      </c>
      <c r="Z31" s="166" t="s">
        <v>193</v>
      </c>
      <c r="AA31" s="176" t="s">
        <v>194</v>
      </c>
      <c r="AB31" s="176" t="s">
        <v>217</v>
      </c>
      <c r="AC31" s="176" t="s">
        <v>197</v>
      </c>
      <c r="AD31" s="176" t="s">
        <v>197</v>
      </c>
      <c r="AE31" s="176" t="s">
        <v>401</v>
      </c>
      <c r="AF31" s="176">
        <v>0</v>
      </c>
      <c r="AG31" s="176">
        <v>97</v>
      </c>
      <c r="AH31" s="435">
        <v>97</v>
      </c>
      <c r="AI31" s="305">
        <v>100</v>
      </c>
      <c r="AJ31" s="176">
        <v>97</v>
      </c>
      <c r="AK31" s="176">
        <v>97</v>
      </c>
      <c r="AL31" s="191">
        <v>0</v>
      </c>
      <c r="AM31" s="171">
        <v>100</v>
      </c>
      <c r="AN31" s="433">
        <v>100</v>
      </c>
      <c r="AO31" s="449">
        <v>100</v>
      </c>
      <c r="AP31" s="511">
        <v>96.38</v>
      </c>
      <c r="AQ31" s="191">
        <v>0</v>
      </c>
      <c r="AR31" s="123" t="str">
        <f t="shared" si="1"/>
        <v>0</v>
      </c>
      <c r="AS31" s="123">
        <f t="shared" si="2"/>
        <v>1.0309278350515463</v>
      </c>
      <c r="AT31" s="123">
        <f t="shared" si="3"/>
        <v>1</v>
      </c>
      <c r="AU31" s="123">
        <f t="shared" si="4"/>
        <v>0.99360824742268039</v>
      </c>
      <c r="AV31" s="123">
        <f t="shared" si="5"/>
        <v>0</v>
      </c>
      <c r="AW31" s="187">
        <v>0</v>
      </c>
      <c r="AX31" s="187">
        <v>0</v>
      </c>
      <c r="AY31" s="473">
        <v>0</v>
      </c>
      <c r="AZ31" s="187">
        <v>0</v>
      </c>
      <c r="BA31" s="187">
        <v>0</v>
      </c>
      <c r="BB31" s="473">
        <v>0.97</v>
      </c>
      <c r="BC31" s="187">
        <v>0</v>
      </c>
      <c r="BD31" s="187">
        <v>0</v>
      </c>
      <c r="BE31" s="473">
        <v>0</v>
      </c>
      <c r="BF31" s="187">
        <v>0</v>
      </c>
      <c r="BG31" s="187">
        <v>0</v>
      </c>
      <c r="BH31" s="473">
        <v>0.97</v>
      </c>
      <c r="BI31" s="461">
        <v>0</v>
      </c>
      <c r="BJ31" s="461">
        <v>0</v>
      </c>
      <c r="BK31" s="461">
        <v>0</v>
      </c>
      <c r="BL31" s="461">
        <v>0</v>
      </c>
      <c r="BM31" s="461">
        <v>0</v>
      </c>
      <c r="BN31" s="509">
        <v>0.96379999999999999</v>
      </c>
      <c r="BO31" s="461">
        <v>0</v>
      </c>
      <c r="BP31" s="461">
        <v>0</v>
      </c>
      <c r="BQ31" s="461">
        <v>0</v>
      </c>
      <c r="BR31" s="461">
        <v>0</v>
      </c>
      <c r="BS31" s="461">
        <v>0</v>
      </c>
      <c r="BT31" s="461">
        <v>0</v>
      </c>
      <c r="BU31" s="179" t="s">
        <v>1278</v>
      </c>
      <c r="BV31" s="179" t="s">
        <v>1278</v>
      </c>
      <c r="BW31" s="179" t="s">
        <v>1278</v>
      </c>
      <c r="BX31" s="179" t="s">
        <v>1278</v>
      </c>
      <c r="BY31" s="179" t="s">
        <v>1278</v>
      </c>
      <c r="BZ31" s="179" t="s">
        <v>1382</v>
      </c>
      <c r="CA31" s="179" t="s">
        <v>1278</v>
      </c>
      <c r="CB31" s="179" t="s">
        <v>1278</v>
      </c>
      <c r="CC31" s="179" t="s">
        <v>1278</v>
      </c>
      <c r="CD31" s="179" t="s">
        <v>1278</v>
      </c>
      <c r="CE31" s="179" t="s">
        <v>1278</v>
      </c>
      <c r="CF31" s="179"/>
      <c r="CG31" s="92"/>
      <c r="CH31" s="504">
        <f t="shared" si="9"/>
        <v>0.62000000000000455</v>
      </c>
      <c r="CI31" s="74" t="s">
        <v>1417</v>
      </c>
      <c r="CJ31" s="74">
        <v>0</v>
      </c>
      <c r="CK31" s="74">
        <v>96</v>
      </c>
      <c r="CL31" s="74">
        <v>96.9</v>
      </c>
      <c r="CM31" s="74">
        <v>97.5</v>
      </c>
      <c r="CN31" s="74">
        <v>97.6</v>
      </c>
      <c r="CO31" s="74">
        <v>100</v>
      </c>
      <c r="CP31" s="212" t="s">
        <v>512</v>
      </c>
      <c r="CQ31" s="208" t="str">
        <f t="shared" si="6"/>
        <v>TÁCTICO</v>
      </c>
      <c r="CR31" s="215">
        <f t="shared" si="7"/>
        <v>0.4968041237113402</v>
      </c>
      <c r="CS31" s="216">
        <f>IFERROR(SUM($BI31:BI31)/SUM($AW31:AW31),0)</f>
        <v>0</v>
      </c>
      <c r="CT31" s="216">
        <f>IFERROR(SUM($BI31:BJ31)/SUM($AW31:AX31),0)</f>
        <v>0</v>
      </c>
      <c r="CU31" s="216">
        <f>IFERROR(SUM($BI31:BK31)/SUM($AW31:AY31),0)</f>
        <v>0</v>
      </c>
      <c r="CV31" s="216">
        <f>IFERROR(SUM($BI31:BL31)/SUM($AW31:AZ31),0)</f>
        <v>0</v>
      </c>
      <c r="CW31" s="216">
        <f>IFERROR(SUM($BI31:BM31)/SUM($AW31:BA31),0)</f>
        <v>0</v>
      </c>
      <c r="CX31" s="216">
        <f>IFERROR(SUM($BI31:BN31)/SUM($AW31:BB31),0)</f>
        <v>0.99360824742268039</v>
      </c>
      <c r="CY31" s="216">
        <f>IFERROR(SUM($BI31:BO31)/SUM($AW31:BC31),0)</f>
        <v>0.99360824742268039</v>
      </c>
      <c r="CZ31" s="216">
        <f>IFERROR(SUM($BI31:BP31)/SUM($AW31:BD31),0)</f>
        <v>0.99360824742268039</v>
      </c>
      <c r="DA31" s="216">
        <f>IFERROR(SUM($BI31:BQ31)/SUM($AW31:BE31),0)</f>
        <v>0.99360824742268039</v>
      </c>
      <c r="DB31" s="216">
        <f>IFERROR(SUM($BI31:BR31)/SUM($AW31:BF31),0)</f>
        <v>0.99360824742268039</v>
      </c>
      <c r="DC31" s="216">
        <f>IFERROR(SUM($BI31:BS31)/SUM($AW31:BG31),0)</f>
        <v>0.99360824742268039</v>
      </c>
      <c r="DD31" s="216">
        <f>IFERROR(SUM($BI31:BT31)/SUM($AW31:BH31),0)</f>
        <v>0.4968041237113402</v>
      </c>
      <c r="DE31" s="250" t="str">
        <f t="shared" si="8"/>
        <v>0</v>
      </c>
      <c r="DF31" s="251" t="str">
        <f>IFERROR(SUM($BI31:BJ31)/SUM($AW31:AX31),"0")</f>
        <v>0</v>
      </c>
      <c r="DG31" s="252" t="str">
        <f>IFERROR(SUM($BI31:BK31)/SUM($AW31:AY31),"0")</f>
        <v>0</v>
      </c>
      <c r="DH31" s="252" t="str">
        <f>IFERROR(SUM($BI31:BL31)/SUM($AW31:AZ31),"0")</f>
        <v>0</v>
      </c>
      <c r="DI31" s="252" t="str">
        <f>IFERROR(SUM($BI31:BM31)/SUM($AW31:BA31),"0")</f>
        <v>0</v>
      </c>
      <c r="DJ31" s="252">
        <f>IFERROR(SUM($BI31:BN31)/SUM($AW31:BB31),"0")</f>
        <v>0.99360824742268039</v>
      </c>
      <c r="DK31" s="252">
        <f>IFERROR(SUM($BI31:BO31)/SUM($AW31:BC31),"0")</f>
        <v>0.99360824742268039</v>
      </c>
      <c r="DL31" s="252">
        <f>IFERROR(SUM($BI31:BP31)/SUM($AW31:BD31),"0")</f>
        <v>0.99360824742268039</v>
      </c>
      <c r="DM31" s="252">
        <f>IFERROR(SUM($BI31:BQ31)/SUM($AW31:BE31),"0")</f>
        <v>0.99360824742268039</v>
      </c>
      <c r="DN31" s="252">
        <f>IFERROR(SUM($BI31:BR31)/SUM($AW31:BF31),"0")</f>
        <v>0.99360824742268039</v>
      </c>
      <c r="DO31" s="252">
        <f>IFERROR(SUM($BI31:BS31)/SUM($AW31:BG31),"0")</f>
        <v>0.99360824742268039</v>
      </c>
      <c r="DP31" s="253">
        <f>IFERROR(SUM($BI31:BT31)/SUM($AW31:BH31),"0")</f>
        <v>0.4968041237113402</v>
      </c>
    </row>
    <row r="32" spans="1:120" s="226" customFormat="1" ht="39" customHeight="1" x14ac:dyDescent="0.3">
      <c r="A32" s="228" t="s">
        <v>1233</v>
      </c>
      <c r="B32" s="161" t="s">
        <v>250</v>
      </c>
      <c r="C32" s="176" t="s">
        <v>523</v>
      </c>
      <c r="D32" s="161" t="s">
        <v>470</v>
      </c>
      <c r="E32" s="162" t="s">
        <v>443</v>
      </c>
      <c r="F32" s="163" t="s">
        <v>1234</v>
      </c>
      <c r="G32" s="161" t="s">
        <v>250</v>
      </c>
      <c r="H32" s="164" t="s">
        <v>525</v>
      </c>
      <c r="I32" s="166" t="s">
        <v>253</v>
      </c>
      <c r="J32" s="176" t="s">
        <v>47</v>
      </c>
      <c r="K32" s="161" t="s">
        <v>181</v>
      </c>
      <c r="L32" s="164" t="s">
        <v>448</v>
      </c>
      <c r="M32" s="164" t="s">
        <v>406</v>
      </c>
      <c r="N32" s="164"/>
      <c r="O32" s="164"/>
      <c r="P32" s="164" t="s">
        <v>526</v>
      </c>
      <c r="Q32" s="164" t="s">
        <v>255</v>
      </c>
      <c r="R32" s="164" t="s">
        <v>1235</v>
      </c>
      <c r="S32" s="164" t="s">
        <v>527</v>
      </c>
      <c r="T32" s="164" t="s">
        <v>528</v>
      </c>
      <c r="U32" s="164" t="s">
        <v>1236</v>
      </c>
      <c r="V32" s="164" t="s">
        <v>529</v>
      </c>
      <c r="W32" s="164" t="s">
        <v>529</v>
      </c>
      <c r="X32" s="164">
        <v>100</v>
      </c>
      <c r="Y32" s="164" t="s">
        <v>530</v>
      </c>
      <c r="Z32" s="166" t="s">
        <v>193</v>
      </c>
      <c r="AA32" s="164" t="s">
        <v>456</v>
      </c>
      <c r="AB32" s="176" t="s">
        <v>217</v>
      </c>
      <c r="AC32" s="164" t="s">
        <v>261</v>
      </c>
      <c r="AD32" s="164" t="s">
        <v>261</v>
      </c>
      <c r="AE32" s="164" t="s">
        <v>262</v>
      </c>
      <c r="AF32" s="164">
        <v>0</v>
      </c>
      <c r="AG32" s="167">
        <v>100</v>
      </c>
      <c r="AH32" s="436">
        <v>100</v>
      </c>
      <c r="AI32" s="305">
        <v>100</v>
      </c>
      <c r="AJ32" s="187">
        <v>100</v>
      </c>
      <c r="AK32" s="187">
        <v>100</v>
      </c>
      <c r="AL32" s="164">
        <v>0</v>
      </c>
      <c r="AM32" s="171">
        <v>100</v>
      </c>
      <c r="AN32" s="428">
        <v>100</v>
      </c>
      <c r="AO32" s="432">
        <v>100</v>
      </c>
      <c r="AP32" s="512">
        <v>100</v>
      </c>
      <c r="AQ32" s="191">
        <v>0</v>
      </c>
      <c r="AR32" s="221" t="str">
        <f t="shared" si="1"/>
        <v>0</v>
      </c>
      <c r="AS32" s="221">
        <f t="shared" si="2"/>
        <v>1</v>
      </c>
      <c r="AT32" s="221">
        <f t="shared" si="3"/>
        <v>1</v>
      </c>
      <c r="AU32" s="221">
        <f t="shared" si="4"/>
        <v>1</v>
      </c>
      <c r="AV32" s="221">
        <f t="shared" si="5"/>
        <v>0</v>
      </c>
      <c r="AW32" s="187">
        <v>0</v>
      </c>
      <c r="AX32" s="187">
        <v>0</v>
      </c>
      <c r="AY32" s="473">
        <v>1</v>
      </c>
      <c r="AZ32" s="187">
        <v>0</v>
      </c>
      <c r="BA32" s="187">
        <v>0</v>
      </c>
      <c r="BB32" s="473">
        <v>1</v>
      </c>
      <c r="BC32" s="187">
        <v>0</v>
      </c>
      <c r="BD32" s="187">
        <v>0</v>
      </c>
      <c r="BE32" s="473">
        <v>1</v>
      </c>
      <c r="BF32" s="187">
        <v>0</v>
      </c>
      <c r="BG32" s="187">
        <v>0</v>
      </c>
      <c r="BH32" s="473">
        <v>1</v>
      </c>
      <c r="BI32" s="465">
        <v>0</v>
      </c>
      <c r="BJ32" s="465">
        <v>0</v>
      </c>
      <c r="BK32" s="464">
        <v>1</v>
      </c>
      <c r="BL32" s="465">
        <v>0</v>
      </c>
      <c r="BM32" s="465">
        <v>0</v>
      </c>
      <c r="BN32" s="520">
        <v>1</v>
      </c>
      <c r="BO32" s="465">
        <v>0</v>
      </c>
      <c r="BP32" s="465">
        <v>0</v>
      </c>
      <c r="BQ32" s="464">
        <v>0</v>
      </c>
      <c r="BR32" s="465">
        <v>0</v>
      </c>
      <c r="BS32" s="465">
        <v>0</v>
      </c>
      <c r="BT32" s="464">
        <v>0</v>
      </c>
      <c r="BU32" s="179" t="s">
        <v>1269</v>
      </c>
      <c r="BV32" s="179" t="s">
        <v>1269</v>
      </c>
      <c r="BW32" s="179" t="s">
        <v>1279</v>
      </c>
      <c r="BX32" s="179" t="s">
        <v>1269</v>
      </c>
      <c r="BY32" s="179" t="s">
        <v>1269</v>
      </c>
      <c r="BZ32" s="179" t="s">
        <v>1383</v>
      </c>
      <c r="CA32" s="179" t="s">
        <v>1269</v>
      </c>
      <c r="CB32" s="179" t="s">
        <v>1269</v>
      </c>
      <c r="CC32" s="179"/>
      <c r="CD32" s="179" t="s">
        <v>1269</v>
      </c>
      <c r="CE32" s="179" t="s">
        <v>1269</v>
      </c>
      <c r="CF32" s="179"/>
      <c r="CG32" s="184"/>
      <c r="CH32" s="504">
        <f t="shared" si="9"/>
        <v>0</v>
      </c>
      <c r="CI32" s="176" t="s">
        <v>1413</v>
      </c>
      <c r="CJ32" s="176">
        <v>0</v>
      </c>
      <c r="CK32" s="176">
        <v>70</v>
      </c>
      <c r="CL32" s="176">
        <v>71</v>
      </c>
      <c r="CM32" s="176">
        <v>95</v>
      </c>
      <c r="CN32" s="176">
        <v>96</v>
      </c>
      <c r="CO32" s="176">
        <v>100</v>
      </c>
      <c r="CP32" s="235" t="s">
        <v>1237</v>
      </c>
      <c r="CQ32" s="223" t="str">
        <f t="shared" si="6"/>
        <v>OPERATIVO</v>
      </c>
      <c r="CR32" s="224">
        <f t="shared" si="7"/>
        <v>0.5</v>
      </c>
      <c r="CS32" s="225">
        <f>IFERROR(SUM($BI32:BI32)/SUM($AW32:AW32),0)</f>
        <v>0</v>
      </c>
      <c r="CT32" s="225">
        <f>IFERROR(SUM($BI32:BJ32)/SUM($AW32:AX32),0)</f>
        <v>0</v>
      </c>
      <c r="CU32" s="225">
        <f>IFERROR(SUM($BI32:BK32)/SUM($AW32:AY32),0)</f>
        <v>1</v>
      </c>
      <c r="CV32" s="225">
        <f>IFERROR(SUM($BI32:BL32)/SUM($AW32:AZ32),0)</f>
        <v>1</v>
      </c>
      <c r="CW32" s="225">
        <f>IFERROR(SUM($BI32:BM32)/SUM($AW32:BA32),0)</f>
        <v>1</v>
      </c>
      <c r="CX32" s="225">
        <f>IFERROR(SUM($BI32:BN32)/SUM($AW32:BB32),0)</f>
        <v>1</v>
      </c>
      <c r="CY32" s="225">
        <f>IFERROR(SUM($BI32:BO32)/SUM($AW32:BC32),0)</f>
        <v>1</v>
      </c>
      <c r="CZ32" s="225">
        <f>IFERROR(SUM($BI32:BP32)/SUM($AW32:BD32),0)</f>
        <v>1</v>
      </c>
      <c r="DA32" s="225">
        <f>IFERROR(SUM($BI32:BQ32)/SUM($AW32:BE32),0)</f>
        <v>0.66666666666666663</v>
      </c>
      <c r="DB32" s="225">
        <f>IFERROR(SUM($BI32:BR32)/SUM($AW32:BF32),0)</f>
        <v>0.66666666666666663</v>
      </c>
      <c r="DC32" s="225">
        <f>IFERROR(SUM($BI32:BS32)/SUM($AW32:BG32),0)</f>
        <v>0.66666666666666663</v>
      </c>
      <c r="DD32" s="225">
        <f>IFERROR(SUM($BI32:BT32)/SUM($AW32:BH32),0)</f>
        <v>0.5</v>
      </c>
      <c r="DE32" s="250" t="str">
        <f t="shared" si="8"/>
        <v>0</v>
      </c>
      <c r="DF32" s="251" t="str">
        <f>IFERROR(SUM($BI32:BJ32)/SUM($AW32:AX32),"0")</f>
        <v>0</v>
      </c>
      <c r="DG32" s="252">
        <f>IFERROR(SUM($BI32:BK32)/SUM($AW32:AY32),"0")</f>
        <v>1</v>
      </c>
      <c r="DH32" s="252">
        <f>IFERROR(SUM($BI32:BL32)/SUM($AW32:AZ32),"0")</f>
        <v>1</v>
      </c>
      <c r="DI32" s="252">
        <f>IFERROR(SUM($BI32:BM32)/SUM($AW32:BA32),"0")</f>
        <v>1</v>
      </c>
      <c r="DJ32" s="252">
        <f>IFERROR(SUM($BI32:BN32)/SUM($AW32:BB32),"0")</f>
        <v>1</v>
      </c>
      <c r="DK32" s="252">
        <f>IFERROR(SUM($BI32:BO32)/SUM($AW32:BC32),"0")</f>
        <v>1</v>
      </c>
      <c r="DL32" s="252">
        <f>IFERROR(SUM($BI32:BP32)/SUM($AW32:BD32),"0")</f>
        <v>1</v>
      </c>
      <c r="DM32" s="252">
        <f>IFERROR(SUM($BI32:BQ32)/SUM($AW32:BE32),"0")</f>
        <v>0.66666666666666663</v>
      </c>
      <c r="DN32" s="252">
        <f>IFERROR(SUM($BI32:BR32)/SUM($AW32:BF32),"0")</f>
        <v>0.66666666666666663</v>
      </c>
      <c r="DO32" s="252">
        <f>IFERROR(SUM($BI32:BS32)/SUM($AW32:BG32),"0")</f>
        <v>0.66666666666666663</v>
      </c>
      <c r="DP32" s="253">
        <f>IFERROR(SUM($BI32:BT32)/SUM($AW32:BH32),"0")</f>
        <v>0.5</v>
      </c>
    </row>
    <row r="33" spans="1:120" s="226" customFormat="1" ht="39" customHeight="1" x14ac:dyDescent="0.3">
      <c r="A33" s="228" t="s">
        <v>531</v>
      </c>
      <c r="B33" s="161" t="s">
        <v>250</v>
      </c>
      <c r="C33" s="176" t="s">
        <v>532</v>
      </c>
      <c r="D33" s="161" t="s">
        <v>319</v>
      </c>
      <c r="E33" s="162" t="s">
        <v>443</v>
      </c>
      <c r="F33" s="163" t="s">
        <v>1143</v>
      </c>
      <c r="G33" s="161" t="s">
        <v>250</v>
      </c>
      <c r="H33" s="164" t="s">
        <v>534</v>
      </c>
      <c r="I33" s="166" t="s">
        <v>180</v>
      </c>
      <c r="J33" s="176" t="s">
        <v>47</v>
      </c>
      <c r="K33" s="161" t="s">
        <v>181</v>
      </c>
      <c r="L33" s="164" t="s">
        <v>448</v>
      </c>
      <c r="M33" s="164" t="s">
        <v>406</v>
      </c>
      <c r="N33" s="164"/>
      <c r="O33" s="164"/>
      <c r="P33" s="164" t="s">
        <v>535</v>
      </c>
      <c r="Q33" s="166" t="s">
        <v>536</v>
      </c>
      <c r="R33" s="164" t="s">
        <v>537</v>
      </c>
      <c r="S33" s="164" t="s">
        <v>538</v>
      </c>
      <c r="T33" s="164" t="s">
        <v>539</v>
      </c>
      <c r="U33" s="164" t="s">
        <v>540</v>
      </c>
      <c r="V33" s="164" t="s">
        <v>541</v>
      </c>
      <c r="W33" s="164" t="s">
        <v>542</v>
      </c>
      <c r="X33" s="166">
        <v>0</v>
      </c>
      <c r="Y33" s="166">
        <v>0</v>
      </c>
      <c r="Z33" s="166" t="s">
        <v>193</v>
      </c>
      <c r="AA33" s="166" t="s">
        <v>456</v>
      </c>
      <c r="AB33" s="176" t="s">
        <v>217</v>
      </c>
      <c r="AC33" s="164" t="s">
        <v>261</v>
      </c>
      <c r="AD33" s="164" t="s">
        <v>261</v>
      </c>
      <c r="AE33" s="164" t="s">
        <v>543</v>
      </c>
      <c r="AF33" s="164">
        <v>0</v>
      </c>
      <c r="AG33" s="172">
        <v>100</v>
      </c>
      <c r="AH33" s="437">
        <v>100</v>
      </c>
      <c r="AI33" s="305">
        <v>100</v>
      </c>
      <c r="AJ33" s="173">
        <v>100</v>
      </c>
      <c r="AK33" s="173">
        <v>100</v>
      </c>
      <c r="AL33" s="164">
        <v>0</v>
      </c>
      <c r="AM33" s="171">
        <v>100</v>
      </c>
      <c r="AN33" s="428">
        <v>100</v>
      </c>
      <c r="AO33" s="432">
        <v>100</v>
      </c>
      <c r="AP33" s="512">
        <v>100</v>
      </c>
      <c r="AQ33" s="191">
        <v>0</v>
      </c>
      <c r="AR33" s="221" t="str">
        <f t="shared" si="1"/>
        <v>0</v>
      </c>
      <c r="AS33" s="221">
        <f t="shared" si="2"/>
        <v>1</v>
      </c>
      <c r="AT33" s="221">
        <f t="shared" si="3"/>
        <v>1</v>
      </c>
      <c r="AU33" s="221">
        <f t="shared" si="4"/>
        <v>1</v>
      </c>
      <c r="AV33" s="221">
        <f t="shared" si="5"/>
        <v>0</v>
      </c>
      <c r="AW33" s="187">
        <v>0</v>
      </c>
      <c r="AX33" s="187">
        <v>0</v>
      </c>
      <c r="AY33" s="473">
        <v>1</v>
      </c>
      <c r="AZ33" s="187">
        <v>0</v>
      </c>
      <c r="BA33" s="187">
        <v>0</v>
      </c>
      <c r="BB33" s="473">
        <v>1</v>
      </c>
      <c r="BC33" s="187">
        <v>0</v>
      </c>
      <c r="BD33" s="187">
        <v>0</v>
      </c>
      <c r="BE33" s="473">
        <v>1</v>
      </c>
      <c r="BF33" s="187">
        <v>0</v>
      </c>
      <c r="BG33" s="187">
        <v>0</v>
      </c>
      <c r="BH33" s="473">
        <v>1</v>
      </c>
      <c r="BI33" s="465">
        <v>0</v>
      </c>
      <c r="BJ33" s="465">
        <v>0</v>
      </c>
      <c r="BK33" s="461">
        <v>1</v>
      </c>
      <c r="BL33" s="465">
        <v>0</v>
      </c>
      <c r="BM33" s="465">
        <v>0</v>
      </c>
      <c r="BN33" s="523">
        <v>1</v>
      </c>
      <c r="BO33" s="465">
        <v>0</v>
      </c>
      <c r="BP33" s="465">
        <v>0</v>
      </c>
      <c r="BQ33" s="461">
        <v>0</v>
      </c>
      <c r="BR33" s="465">
        <v>0</v>
      </c>
      <c r="BS33" s="465">
        <v>0</v>
      </c>
      <c r="BT33" s="461">
        <v>0</v>
      </c>
      <c r="BU33" s="179" t="s">
        <v>1269</v>
      </c>
      <c r="BV33" s="179" t="s">
        <v>1269</v>
      </c>
      <c r="BW33" s="179" t="s">
        <v>1280</v>
      </c>
      <c r="BX33" s="179" t="s">
        <v>1269</v>
      </c>
      <c r="BY33" s="179" t="s">
        <v>1269</v>
      </c>
      <c r="BZ33" s="179" t="s">
        <v>1384</v>
      </c>
      <c r="CA33" s="179" t="s">
        <v>1269</v>
      </c>
      <c r="CB33" s="179" t="s">
        <v>1269</v>
      </c>
      <c r="CC33" s="179"/>
      <c r="CD33" s="179" t="s">
        <v>1269</v>
      </c>
      <c r="CE33" s="179" t="s">
        <v>1269</v>
      </c>
      <c r="CF33" s="179"/>
      <c r="CG33" s="184"/>
      <c r="CH33" s="504">
        <f t="shared" si="9"/>
        <v>0</v>
      </c>
      <c r="CI33" s="176" t="s">
        <v>1413</v>
      </c>
      <c r="CJ33" s="169">
        <v>0</v>
      </c>
      <c r="CK33" s="169">
        <v>70</v>
      </c>
      <c r="CL33" s="169">
        <v>71</v>
      </c>
      <c r="CM33" s="169">
        <v>95</v>
      </c>
      <c r="CN33" s="169">
        <v>96</v>
      </c>
      <c r="CO33" s="169">
        <v>100</v>
      </c>
      <c r="CP33" s="198"/>
      <c r="CQ33" s="223" t="str">
        <f t="shared" si="6"/>
        <v>TÁCTICO</v>
      </c>
      <c r="CR33" s="224">
        <f t="shared" si="7"/>
        <v>0.5</v>
      </c>
      <c r="CS33" s="225">
        <f>IFERROR(SUM($BI33:BI33)/SUM($AW33:AW33),0)</f>
        <v>0</v>
      </c>
      <c r="CT33" s="225">
        <f>IFERROR(SUM($BI33:BJ33)/SUM($AW33:AX33),0)</f>
        <v>0</v>
      </c>
      <c r="CU33" s="225">
        <f>IFERROR(SUM($BI33:BK33)/SUM($AW33:AY33),0)</f>
        <v>1</v>
      </c>
      <c r="CV33" s="225">
        <f>IFERROR(SUM($BI33:BL33)/SUM($AW33:AZ33),0)</f>
        <v>1</v>
      </c>
      <c r="CW33" s="225">
        <f>IFERROR(SUM($BI33:BM33)/SUM($AW33:BA33),0)</f>
        <v>1</v>
      </c>
      <c r="CX33" s="225">
        <f>IFERROR(SUM($BI33:BN33)/SUM($AW33:BB33),0)</f>
        <v>1</v>
      </c>
      <c r="CY33" s="225">
        <f>IFERROR(SUM($BI33:BO33)/SUM($AW33:BC33),0)</f>
        <v>1</v>
      </c>
      <c r="CZ33" s="225">
        <f>IFERROR(SUM($BI33:BP33)/SUM($AW33:BD33),0)</f>
        <v>1</v>
      </c>
      <c r="DA33" s="225">
        <f>IFERROR(SUM($BI33:BQ33)/SUM($AW33:BE33),0)</f>
        <v>0.66666666666666663</v>
      </c>
      <c r="DB33" s="225">
        <f>IFERROR(SUM($BI33:BR33)/SUM($AW33:BF33),0)</f>
        <v>0.66666666666666663</v>
      </c>
      <c r="DC33" s="225">
        <f>IFERROR(SUM($BI33:BS33)/SUM($AW33:BG33),0)</f>
        <v>0.66666666666666663</v>
      </c>
      <c r="DD33" s="225">
        <f>IFERROR(SUM($BI33:BT33)/SUM($AW33:BH33),0)</f>
        <v>0.5</v>
      </c>
      <c r="DE33" s="254" t="str">
        <f t="shared" si="8"/>
        <v>0</v>
      </c>
      <c r="DF33" s="255" t="str">
        <f>IFERROR(SUM($BI33:BJ33)/SUM($AW33:AX33),"0")</f>
        <v>0</v>
      </c>
      <c r="DG33" s="256">
        <f>IFERROR(SUM($BI33:BK33)/SUM($AW33:AY33),"0")</f>
        <v>1</v>
      </c>
      <c r="DH33" s="256">
        <f>IFERROR(SUM($BI33:BL33)/SUM($AW33:AZ33),"0")</f>
        <v>1</v>
      </c>
      <c r="DI33" s="256">
        <f>IFERROR(SUM($BI33:BM33)/SUM($AW33:BA33),"0")</f>
        <v>1</v>
      </c>
      <c r="DJ33" s="256">
        <f>IFERROR(SUM($BI33:BN33)/SUM($AW33:BB33),"0")</f>
        <v>1</v>
      </c>
      <c r="DK33" s="256">
        <f>IFERROR(SUM($BI33:BO33)/SUM($AW33:BC33),"0")</f>
        <v>1</v>
      </c>
      <c r="DL33" s="256">
        <f>IFERROR(SUM($BI33:BP33)/SUM($AW33:BD33),"0")</f>
        <v>1</v>
      </c>
      <c r="DM33" s="256">
        <f>IFERROR(SUM($BI33:BQ33)/SUM($AW33:BE33),"0")</f>
        <v>0.66666666666666663</v>
      </c>
      <c r="DN33" s="256">
        <f>IFERROR(SUM($BI33:BR33)/SUM($AW33:BF33),"0")</f>
        <v>0.66666666666666663</v>
      </c>
      <c r="DO33" s="256">
        <f>IFERROR(SUM($BI33:BS33)/SUM($AW33:BG33),"0")</f>
        <v>0.66666666666666663</v>
      </c>
      <c r="DP33" s="257">
        <f>IFERROR(SUM($BI33:BT33)/SUM($AW33:BH33),"0")</f>
        <v>0.5</v>
      </c>
    </row>
    <row r="34" spans="1:120" s="226" customFormat="1" ht="39" customHeight="1" x14ac:dyDescent="0.25">
      <c r="A34" s="182" t="s">
        <v>544</v>
      </c>
      <c r="B34" s="161" t="s">
        <v>317</v>
      </c>
      <c r="C34" s="176" t="s">
        <v>545</v>
      </c>
      <c r="D34" s="346" t="s">
        <v>470</v>
      </c>
      <c r="E34" s="162" t="s">
        <v>443</v>
      </c>
      <c r="F34" s="189" t="s">
        <v>546</v>
      </c>
      <c r="G34" s="161" t="s">
        <v>317</v>
      </c>
      <c r="H34" s="176" t="s">
        <v>547</v>
      </c>
      <c r="I34" s="164" t="s">
        <v>253</v>
      </c>
      <c r="J34" s="164" t="s">
        <v>322</v>
      </c>
      <c r="K34" s="176" t="s">
        <v>181</v>
      </c>
      <c r="L34" s="164" t="s">
        <v>448</v>
      </c>
      <c r="M34" s="176"/>
      <c r="N34" s="176"/>
      <c r="O34" s="176"/>
      <c r="P34" s="176" t="s">
        <v>1238</v>
      </c>
      <c r="Q34" s="376" t="s">
        <v>548</v>
      </c>
      <c r="R34" s="176" t="s">
        <v>1239</v>
      </c>
      <c r="S34" s="176" t="s">
        <v>549</v>
      </c>
      <c r="T34" s="176" t="s">
        <v>550</v>
      </c>
      <c r="U34" s="176" t="s">
        <v>551</v>
      </c>
      <c r="V34" s="176" t="s">
        <v>552</v>
      </c>
      <c r="W34" s="176" t="s">
        <v>552</v>
      </c>
      <c r="X34" s="176">
        <v>0</v>
      </c>
      <c r="Y34" s="176">
        <v>0</v>
      </c>
      <c r="Z34" s="166" t="s">
        <v>193</v>
      </c>
      <c r="AA34" s="176" t="s">
        <v>456</v>
      </c>
      <c r="AB34" s="176" t="s">
        <v>217</v>
      </c>
      <c r="AC34" s="164" t="s">
        <v>330</v>
      </c>
      <c r="AD34" s="164" t="s">
        <v>330</v>
      </c>
      <c r="AE34" s="164" t="s">
        <v>331</v>
      </c>
      <c r="AF34" s="176">
        <v>0</v>
      </c>
      <c r="AG34" s="191">
        <v>100</v>
      </c>
      <c r="AH34" s="428">
        <v>100</v>
      </c>
      <c r="AI34" s="305">
        <v>100</v>
      </c>
      <c r="AJ34" s="191">
        <v>100</v>
      </c>
      <c r="AK34" s="191">
        <v>100</v>
      </c>
      <c r="AL34" s="191">
        <v>0</v>
      </c>
      <c r="AM34" s="171">
        <v>100</v>
      </c>
      <c r="AN34" s="428">
        <v>100</v>
      </c>
      <c r="AO34" s="432">
        <v>100</v>
      </c>
      <c r="AP34" s="512">
        <v>100</v>
      </c>
      <c r="AQ34" s="191">
        <v>0</v>
      </c>
      <c r="AR34" s="221" t="str">
        <f t="shared" si="1"/>
        <v>0</v>
      </c>
      <c r="AS34" s="221">
        <f t="shared" si="2"/>
        <v>1</v>
      </c>
      <c r="AT34" s="221">
        <f t="shared" si="3"/>
        <v>1</v>
      </c>
      <c r="AU34" s="221">
        <f t="shared" si="4"/>
        <v>1</v>
      </c>
      <c r="AV34" s="221">
        <f t="shared" si="5"/>
        <v>0</v>
      </c>
      <c r="AW34" s="187">
        <v>0</v>
      </c>
      <c r="AX34" s="187">
        <v>0</v>
      </c>
      <c r="AY34" s="473">
        <v>1</v>
      </c>
      <c r="AZ34" s="187">
        <v>0</v>
      </c>
      <c r="BA34" s="187">
        <v>0</v>
      </c>
      <c r="BB34" s="473">
        <v>1</v>
      </c>
      <c r="BC34" s="187">
        <v>0</v>
      </c>
      <c r="BD34" s="187">
        <v>0</v>
      </c>
      <c r="BE34" s="473">
        <v>1</v>
      </c>
      <c r="BF34" s="187">
        <v>0</v>
      </c>
      <c r="BG34" s="187">
        <v>0</v>
      </c>
      <c r="BH34" s="473">
        <v>1</v>
      </c>
      <c r="BI34" s="465">
        <v>0</v>
      </c>
      <c r="BJ34" s="465">
        <v>0</v>
      </c>
      <c r="BK34" s="461">
        <v>1</v>
      </c>
      <c r="BL34" s="465">
        <v>0</v>
      </c>
      <c r="BM34" s="465">
        <v>0</v>
      </c>
      <c r="BN34" s="523">
        <v>1</v>
      </c>
      <c r="BO34" s="465">
        <v>0</v>
      </c>
      <c r="BP34" s="465">
        <v>0</v>
      </c>
      <c r="BQ34" s="461">
        <v>0</v>
      </c>
      <c r="BR34" s="465">
        <v>0</v>
      </c>
      <c r="BS34" s="465">
        <v>0</v>
      </c>
      <c r="BT34" s="461">
        <v>0</v>
      </c>
      <c r="BU34" s="179" t="s">
        <v>1269</v>
      </c>
      <c r="BV34" s="179" t="s">
        <v>1269</v>
      </c>
      <c r="BW34" s="176" t="s">
        <v>1281</v>
      </c>
      <c r="BX34" s="179" t="s">
        <v>1269</v>
      </c>
      <c r="BY34" s="179" t="s">
        <v>1269</v>
      </c>
      <c r="BZ34" s="179" t="s">
        <v>1385</v>
      </c>
      <c r="CA34" s="179" t="s">
        <v>1269</v>
      </c>
      <c r="CB34" s="179" t="s">
        <v>1269</v>
      </c>
      <c r="CC34" s="179"/>
      <c r="CD34" s="179" t="s">
        <v>1269</v>
      </c>
      <c r="CE34" s="179" t="s">
        <v>1269</v>
      </c>
      <c r="CF34" s="179"/>
      <c r="CG34" s="192"/>
      <c r="CH34" s="504">
        <f t="shared" si="9"/>
        <v>0</v>
      </c>
      <c r="CI34" s="176" t="s">
        <v>1413</v>
      </c>
      <c r="CJ34" s="233">
        <v>0</v>
      </c>
      <c r="CK34" s="233">
        <v>0.89</v>
      </c>
      <c r="CL34" s="233">
        <v>0.9</v>
      </c>
      <c r="CM34" s="233">
        <v>0.98</v>
      </c>
      <c r="CN34" s="234">
        <v>0.99</v>
      </c>
      <c r="CO34" s="234">
        <v>1</v>
      </c>
      <c r="CP34" s="227" t="s">
        <v>341</v>
      </c>
      <c r="CQ34" s="223" t="str">
        <f t="shared" si="6"/>
        <v>OPERATIVO</v>
      </c>
      <c r="CR34" s="224">
        <f t="shared" si="7"/>
        <v>0.5</v>
      </c>
      <c r="CS34" s="225">
        <f>IFERROR(SUM($BI34:BI34)/SUM($AW34:AW34),0)</f>
        <v>0</v>
      </c>
      <c r="CT34" s="225">
        <f>IFERROR(SUM($BI34:BJ34)/SUM($AW34:AX34),0)</f>
        <v>0</v>
      </c>
      <c r="CU34" s="225">
        <f>IFERROR(SUM($BI34:BK34)/SUM($AW34:AY34),0)</f>
        <v>1</v>
      </c>
      <c r="CV34" s="225">
        <f>IFERROR(SUM($BI34:BL34)/SUM($AW34:AZ34),0)</f>
        <v>1</v>
      </c>
      <c r="CW34" s="225">
        <f>IFERROR(SUM($BI34:BM34)/SUM($AW34:BA34),0)</f>
        <v>1</v>
      </c>
      <c r="CX34" s="225">
        <f>IFERROR(SUM($BI34:BN34)/SUM($AW34:BB34),0)</f>
        <v>1</v>
      </c>
      <c r="CY34" s="225">
        <f>IFERROR(SUM($BI34:BO34)/SUM($AW34:BC34),0)</f>
        <v>1</v>
      </c>
      <c r="CZ34" s="225">
        <f>IFERROR(SUM($BI34:BP34)/SUM($AW34:BD34),0)</f>
        <v>1</v>
      </c>
      <c r="DA34" s="225">
        <f>IFERROR(SUM($BI34:BQ34)/SUM($AW34:BE34),0)</f>
        <v>0.66666666666666663</v>
      </c>
      <c r="DB34" s="225">
        <f>IFERROR(SUM($BI34:BR34)/SUM($AW34:BF34),0)</f>
        <v>0.66666666666666663</v>
      </c>
      <c r="DC34" s="225">
        <f>IFERROR(SUM($BI34:BS34)/SUM($AW34:BG34),0)</f>
        <v>0.66666666666666663</v>
      </c>
      <c r="DD34" s="225">
        <f>IFERROR(SUM($BI34:BT34)/SUM($AW34:BH34),0)</f>
        <v>0.5</v>
      </c>
      <c r="DE34" s="254" t="str">
        <f t="shared" si="8"/>
        <v>0</v>
      </c>
      <c r="DF34" s="255" t="str">
        <f>IFERROR(SUM($BI34:BJ34)/SUM($AW34:AX34),"0")</f>
        <v>0</v>
      </c>
      <c r="DG34" s="256">
        <f>IFERROR(SUM($BI34:BK34)/SUM($AW34:AY34),"0")</f>
        <v>1</v>
      </c>
      <c r="DH34" s="256">
        <f>IFERROR(SUM($BI34:BL34)/SUM($AW34:AZ34),"0")</f>
        <v>1</v>
      </c>
      <c r="DI34" s="256">
        <f>IFERROR(SUM($BI34:BM34)/SUM($AW34:BA34),"0")</f>
        <v>1</v>
      </c>
      <c r="DJ34" s="256">
        <f>IFERROR(SUM($BI34:BN34)/SUM($AW34:BB34),"0")</f>
        <v>1</v>
      </c>
      <c r="DK34" s="256">
        <f>IFERROR(SUM($BI34:BO34)/SUM($AW34:BC34),"0")</f>
        <v>1</v>
      </c>
      <c r="DL34" s="256">
        <f>IFERROR(SUM($BI34:BP34)/SUM($AW34:BD34),"0")</f>
        <v>1</v>
      </c>
      <c r="DM34" s="256">
        <f>IFERROR(SUM($BI34:BQ34)/SUM($AW34:BE34),"0")</f>
        <v>0.66666666666666663</v>
      </c>
      <c r="DN34" s="256">
        <f>IFERROR(SUM($BI34:BR34)/SUM($AW34:BF34),"0")</f>
        <v>0.66666666666666663</v>
      </c>
      <c r="DO34" s="256">
        <f>IFERROR(SUM($BI34:BS34)/SUM($AW34:BG34),"0")</f>
        <v>0.66666666666666663</v>
      </c>
      <c r="DP34" s="257">
        <f>IFERROR(SUM($BI34:BT34)/SUM($AW34:BH34),"0")</f>
        <v>0.5</v>
      </c>
    </row>
    <row r="35" spans="1:120" s="226" customFormat="1" ht="39" customHeight="1" x14ac:dyDescent="0.25">
      <c r="A35" s="177" t="s">
        <v>553</v>
      </c>
      <c r="B35" s="161" t="s">
        <v>353</v>
      </c>
      <c r="C35" s="161" t="s">
        <v>554</v>
      </c>
      <c r="D35" s="345" t="s">
        <v>470</v>
      </c>
      <c r="E35" s="162" t="s">
        <v>443</v>
      </c>
      <c r="F35" s="189" t="s">
        <v>1144</v>
      </c>
      <c r="G35" s="161" t="s">
        <v>353</v>
      </c>
      <c r="H35" s="176" t="s">
        <v>1240</v>
      </c>
      <c r="I35" s="164" t="s">
        <v>357</v>
      </c>
      <c r="J35" s="176" t="s">
        <v>358</v>
      </c>
      <c r="K35" s="176" t="s">
        <v>181</v>
      </c>
      <c r="L35" s="176" t="s">
        <v>448</v>
      </c>
      <c r="M35" s="176"/>
      <c r="N35" s="176"/>
      <c r="O35" s="176"/>
      <c r="P35" s="176" t="s">
        <v>556</v>
      </c>
      <c r="Q35" s="176" t="s">
        <v>557</v>
      </c>
      <c r="R35" s="176" t="s">
        <v>558</v>
      </c>
      <c r="S35" s="176" t="s">
        <v>559</v>
      </c>
      <c r="T35" s="176" t="s">
        <v>560</v>
      </c>
      <c r="U35" s="176" t="s">
        <v>561</v>
      </c>
      <c r="V35" s="176" t="s">
        <v>562</v>
      </c>
      <c r="W35" s="176" t="s">
        <v>562</v>
      </c>
      <c r="X35" s="176">
        <v>0</v>
      </c>
      <c r="Y35" s="176">
        <v>0</v>
      </c>
      <c r="Z35" s="474" t="s">
        <v>193</v>
      </c>
      <c r="AA35" s="176" t="s">
        <v>456</v>
      </c>
      <c r="AB35" s="176" t="s">
        <v>260</v>
      </c>
      <c r="AC35" s="176" t="s">
        <v>563</v>
      </c>
      <c r="AD35" s="164" t="s">
        <v>368</v>
      </c>
      <c r="AE35" s="176" t="s">
        <v>369</v>
      </c>
      <c r="AF35" s="164">
        <v>0</v>
      </c>
      <c r="AG35" s="170">
        <v>0</v>
      </c>
      <c r="AH35" s="438">
        <v>98</v>
      </c>
      <c r="AI35" s="305">
        <v>100</v>
      </c>
      <c r="AJ35" s="170">
        <v>98</v>
      </c>
      <c r="AK35" s="170">
        <v>98</v>
      </c>
      <c r="AL35" s="164">
        <v>0</v>
      </c>
      <c r="AM35" s="171">
        <v>0</v>
      </c>
      <c r="AN35" s="428">
        <v>98</v>
      </c>
      <c r="AO35" s="432">
        <v>100</v>
      </c>
      <c r="AP35" s="512">
        <v>99</v>
      </c>
      <c r="AQ35" s="191">
        <v>0</v>
      </c>
      <c r="AR35" s="123" t="str">
        <f t="shared" si="1"/>
        <v>0</v>
      </c>
      <c r="AS35" s="123" t="str">
        <f t="shared" si="2"/>
        <v>0</v>
      </c>
      <c r="AT35" s="123">
        <f t="shared" si="3"/>
        <v>1</v>
      </c>
      <c r="AU35" s="123">
        <f t="shared" si="4"/>
        <v>1.010204081632653</v>
      </c>
      <c r="AV35" s="123">
        <f t="shared" si="5"/>
        <v>0</v>
      </c>
      <c r="AW35" s="187">
        <v>0</v>
      </c>
      <c r="AX35" s="187">
        <v>0</v>
      </c>
      <c r="AY35" s="473">
        <v>0.98</v>
      </c>
      <c r="AZ35" s="187">
        <v>0</v>
      </c>
      <c r="BA35" s="187">
        <v>0</v>
      </c>
      <c r="BB35" s="473">
        <v>0.98</v>
      </c>
      <c r="BC35" s="187">
        <v>0</v>
      </c>
      <c r="BD35" s="187">
        <v>0</v>
      </c>
      <c r="BE35" s="473">
        <v>0.98</v>
      </c>
      <c r="BF35" s="187">
        <v>0</v>
      </c>
      <c r="BG35" s="187">
        <v>0</v>
      </c>
      <c r="BH35" s="473">
        <v>0.98</v>
      </c>
      <c r="BI35" s="465">
        <v>0</v>
      </c>
      <c r="BJ35" s="465">
        <v>0</v>
      </c>
      <c r="BK35" s="491">
        <v>0.98329999999999995</v>
      </c>
      <c r="BL35" s="465">
        <v>0</v>
      </c>
      <c r="BM35" s="465">
        <v>0</v>
      </c>
      <c r="BN35" s="523">
        <v>1</v>
      </c>
      <c r="BO35" s="465">
        <v>0</v>
      </c>
      <c r="BP35" s="465">
        <v>0</v>
      </c>
      <c r="BQ35" s="465">
        <v>0</v>
      </c>
      <c r="BR35" s="465">
        <v>0</v>
      </c>
      <c r="BS35" s="465">
        <v>0</v>
      </c>
      <c r="BT35" s="465">
        <v>0</v>
      </c>
      <c r="BU35" s="179" t="s">
        <v>1269</v>
      </c>
      <c r="BV35" s="179" t="s">
        <v>1269</v>
      </c>
      <c r="BW35" s="179" t="s">
        <v>1282</v>
      </c>
      <c r="BX35" s="179" t="s">
        <v>1269</v>
      </c>
      <c r="BY35" s="179" t="s">
        <v>1269</v>
      </c>
      <c r="BZ35" s="179" t="s">
        <v>1386</v>
      </c>
      <c r="CA35" s="179" t="s">
        <v>1269</v>
      </c>
      <c r="CB35" s="179" t="s">
        <v>1269</v>
      </c>
      <c r="CC35" s="179"/>
      <c r="CD35" s="179" t="s">
        <v>1269</v>
      </c>
      <c r="CE35" s="179" t="s">
        <v>1269</v>
      </c>
      <c r="CF35" s="179"/>
      <c r="CG35" s="92"/>
      <c r="CH35" s="504">
        <f t="shared" si="9"/>
        <v>-1</v>
      </c>
      <c r="CI35" s="74" t="s">
        <v>1413</v>
      </c>
      <c r="CJ35" s="73">
        <v>0</v>
      </c>
      <c r="CK35" s="73">
        <v>0.59</v>
      </c>
      <c r="CL35" s="73">
        <v>0.6</v>
      </c>
      <c r="CM35" s="73">
        <v>0.84</v>
      </c>
      <c r="CN35" s="73">
        <v>0.85</v>
      </c>
      <c r="CO35" s="73">
        <v>1</v>
      </c>
      <c r="CP35" s="213"/>
      <c r="CQ35" s="208" t="str">
        <f t="shared" si="6"/>
        <v>OPERATIVO</v>
      </c>
      <c r="CR35" s="215">
        <f t="shared" si="7"/>
        <v>0.50594387755102033</v>
      </c>
      <c r="CS35" s="216">
        <f>IFERROR(SUM($BI35:BI35)/SUM($AW35:AW35),0)</f>
        <v>0</v>
      </c>
      <c r="CT35" s="216">
        <f>IFERROR(SUM($BI35:BJ35)/SUM($AW35:AX35),0)</f>
        <v>0</v>
      </c>
      <c r="CU35" s="216">
        <f>IFERROR(SUM($BI35:BK35)/SUM($AW35:AY35),0)</f>
        <v>1.0033673469387754</v>
      </c>
      <c r="CV35" s="216">
        <f>IFERROR(SUM($BI35:BL35)/SUM($AW35:AZ35),0)</f>
        <v>1.0033673469387754</v>
      </c>
      <c r="CW35" s="216">
        <f>IFERROR(SUM($BI35:BM35)/SUM($AW35:BA35),0)</f>
        <v>1.0033673469387754</v>
      </c>
      <c r="CX35" s="216">
        <f>IFERROR(SUM($BI35:BN35)/SUM($AW35:BB35),0)</f>
        <v>1.0118877551020407</v>
      </c>
      <c r="CY35" s="216">
        <f>IFERROR(SUM($BI35:BO35)/SUM($AW35:BC35),0)</f>
        <v>1.0118877551020407</v>
      </c>
      <c r="CZ35" s="216">
        <f>IFERROR(SUM($BI35:BP35)/SUM($AW35:BD35),0)</f>
        <v>1.0118877551020407</v>
      </c>
      <c r="DA35" s="216">
        <f>IFERROR(SUM($BI35:BQ35)/SUM($AW35:BE35),0)</f>
        <v>0.67459183673469381</v>
      </c>
      <c r="DB35" s="216">
        <f>IFERROR(SUM($BI35:BR35)/SUM($AW35:BF35),0)</f>
        <v>0.67459183673469381</v>
      </c>
      <c r="DC35" s="216">
        <f>IFERROR(SUM($BI35:BS35)/SUM($AW35:BG35),0)</f>
        <v>0.67459183673469381</v>
      </c>
      <c r="DD35" s="216">
        <f>IFERROR(SUM($BI35:BT35)/SUM($AW35:BH35),0)</f>
        <v>0.50594387755102033</v>
      </c>
      <c r="DE35" s="254" t="str">
        <f t="shared" ref="DE35:DE66" si="10">IFERROR(SUM(BI35)/SUM(AW35),"0")</f>
        <v>0</v>
      </c>
      <c r="DF35" s="255" t="str">
        <f>IFERROR(SUM($BI35:BJ35)/SUM($AW35:AX35),"0")</f>
        <v>0</v>
      </c>
      <c r="DG35" s="256">
        <f>IFERROR(SUM($BI35:BK35)/SUM($AW35:AY35),"0")</f>
        <v>1.0033673469387754</v>
      </c>
      <c r="DH35" s="256">
        <f>IFERROR(SUM($BI35:BL35)/SUM($AW35:AZ35),"0")</f>
        <v>1.0033673469387754</v>
      </c>
      <c r="DI35" s="256">
        <f>IFERROR(SUM($BI35:BM35)/SUM($AW35:BA35),"0")</f>
        <v>1.0033673469387754</v>
      </c>
      <c r="DJ35" s="256">
        <f>IFERROR(SUM($BI35:BN35)/SUM($AW35:BB35),"0")</f>
        <v>1.0118877551020407</v>
      </c>
      <c r="DK35" s="256">
        <f>IFERROR(SUM($BI35:BO35)/SUM($AW35:BC35),"0")</f>
        <v>1.0118877551020407</v>
      </c>
      <c r="DL35" s="256">
        <f>IFERROR(SUM($BI35:BP35)/SUM($AW35:BD35),"0")</f>
        <v>1.0118877551020407</v>
      </c>
      <c r="DM35" s="256">
        <f>IFERROR(SUM($BI35:BQ35)/SUM($AW35:BE35),"0")</f>
        <v>0.67459183673469381</v>
      </c>
      <c r="DN35" s="256">
        <f>IFERROR(SUM($BI35:BR35)/SUM($AW35:BF35),"0")</f>
        <v>0.67459183673469381</v>
      </c>
      <c r="DO35" s="256">
        <f>IFERROR(SUM($BI35:BS35)/SUM($AW35:BG35),"0")</f>
        <v>0.67459183673469381</v>
      </c>
      <c r="DP35" s="257">
        <f>IFERROR(SUM($BI35:BT35)/SUM($AW35:BH35),"0")</f>
        <v>0.50594387755102033</v>
      </c>
    </row>
    <row r="36" spans="1:120" s="226" customFormat="1" ht="39" customHeight="1" x14ac:dyDescent="0.25">
      <c r="A36" s="177" t="s">
        <v>553</v>
      </c>
      <c r="B36" s="161" t="s">
        <v>353</v>
      </c>
      <c r="C36" s="161"/>
      <c r="D36" s="345" t="s">
        <v>470</v>
      </c>
      <c r="E36" s="162" t="s">
        <v>443</v>
      </c>
      <c r="F36" s="163" t="s">
        <v>564</v>
      </c>
      <c r="G36" s="161" t="s">
        <v>353</v>
      </c>
      <c r="H36" s="164" t="s">
        <v>565</v>
      </c>
      <c r="I36" s="164" t="s">
        <v>357</v>
      </c>
      <c r="J36" s="164" t="s">
        <v>358</v>
      </c>
      <c r="K36" s="161" t="s">
        <v>181</v>
      </c>
      <c r="L36" s="176" t="s">
        <v>448</v>
      </c>
      <c r="M36" s="164"/>
      <c r="N36" s="164"/>
      <c r="O36" s="164"/>
      <c r="P36" s="164" t="s">
        <v>566</v>
      </c>
      <c r="Q36" s="176" t="s">
        <v>567</v>
      </c>
      <c r="R36" s="164" t="s">
        <v>568</v>
      </c>
      <c r="S36" s="176" t="s">
        <v>569</v>
      </c>
      <c r="T36" s="164" t="s">
        <v>570</v>
      </c>
      <c r="U36" s="176" t="s">
        <v>571</v>
      </c>
      <c r="V36" s="164" t="s">
        <v>572</v>
      </c>
      <c r="W36" s="176" t="s">
        <v>572</v>
      </c>
      <c r="X36" s="165">
        <v>0</v>
      </c>
      <c r="Y36" s="164">
        <v>0</v>
      </c>
      <c r="Z36" s="474" t="s">
        <v>193</v>
      </c>
      <c r="AA36" s="176" t="s">
        <v>456</v>
      </c>
      <c r="AB36" s="176" t="s">
        <v>217</v>
      </c>
      <c r="AC36" s="164" t="s">
        <v>573</v>
      </c>
      <c r="AD36" s="164" t="s">
        <v>368</v>
      </c>
      <c r="AE36" s="176" t="s">
        <v>369</v>
      </c>
      <c r="AF36" s="164">
        <v>0</v>
      </c>
      <c r="AG36" s="196">
        <v>0</v>
      </c>
      <c r="AH36" s="439">
        <v>100</v>
      </c>
      <c r="AI36" s="305">
        <v>100</v>
      </c>
      <c r="AJ36" s="173">
        <v>100</v>
      </c>
      <c r="AK36" s="173"/>
      <c r="AL36" s="164">
        <v>0</v>
      </c>
      <c r="AM36" s="171">
        <v>0</v>
      </c>
      <c r="AN36" s="428">
        <v>100</v>
      </c>
      <c r="AO36" s="432">
        <v>100</v>
      </c>
      <c r="AP36" s="512">
        <v>100</v>
      </c>
      <c r="AQ36" s="191">
        <v>0</v>
      </c>
      <c r="AR36" s="123" t="str">
        <f t="shared" si="1"/>
        <v>0</v>
      </c>
      <c r="AS36" s="123" t="str">
        <f t="shared" si="2"/>
        <v>0</v>
      </c>
      <c r="AT36" s="123">
        <f t="shared" si="3"/>
        <v>1</v>
      </c>
      <c r="AU36" s="123">
        <f t="shared" si="4"/>
        <v>1</v>
      </c>
      <c r="AV36" s="123" t="str">
        <f t="shared" si="5"/>
        <v>0</v>
      </c>
      <c r="AW36" s="187">
        <v>0</v>
      </c>
      <c r="AX36" s="187">
        <v>0</v>
      </c>
      <c r="AY36" s="473">
        <v>1</v>
      </c>
      <c r="AZ36" s="187">
        <v>0</v>
      </c>
      <c r="BA36" s="187">
        <v>0</v>
      </c>
      <c r="BB36" s="473">
        <v>1</v>
      </c>
      <c r="BC36" s="187">
        <v>0</v>
      </c>
      <c r="BD36" s="187">
        <v>0</v>
      </c>
      <c r="BE36" s="473">
        <v>1</v>
      </c>
      <c r="BF36" s="187">
        <v>0</v>
      </c>
      <c r="BG36" s="187">
        <v>0</v>
      </c>
      <c r="BH36" s="473">
        <v>1</v>
      </c>
      <c r="BI36" s="465">
        <v>0</v>
      </c>
      <c r="BJ36" s="465">
        <v>0</v>
      </c>
      <c r="BK36" s="461">
        <v>1</v>
      </c>
      <c r="BL36" s="465">
        <v>0</v>
      </c>
      <c r="BM36" s="465">
        <v>0</v>
      </c>
      <c r="BN36" s="523">
        <v>1</v>
      </c>
      <c r="BO36" s="465">
        <v>0</v>
      </c>
      <c r="BP36" s="465">
        <v>0</v>
      </c>
      <c r="BQ36" s="461">
        <v>0</v>
      </c>
      <c r="BR36" s="465">
        <v>0</v>
      </c>
      <c r="BS36" s="465">
        <v>0</v>
      </c>
      <c r="BT36" s="461">
        <v>0</v>
      </c>
      <c r="BU36" s="179" t="s">
        <v>1269</v>
      </c>
      <c r="BV36" s="179" t="s">
        <v>1269</v>
      </c>
      <c r="BW36" s="179" t="s">
        <v>1283</v>
      </c>
      <c r="BX36" s="179" t="s">
        <v>1269</v>
      </c>
      <c r="BY36" s="179" t="s">
        <v>1269</v>
      </c>
      <c r="BZ36" s="179" t="s">
        <v>1387</v>
      </c>
      <c r="CA36" s="179" t="s">
        <v>1269</v>
      </c>
      <c r="CB36" s="179" t="s">
        <v>1269</v>
      </c>
      <c r="CC36" s="179"/>
      <c r="CD36" s="179" t="s">
        <v>1269</v>
      </c>
      <c r="CE36" s="179" t="s">
        <v>1269</v>
      </c>
      <c r="CF36" s="179"/>
      <c r="CG36" s="94"/>
      <c r="CH36" s="504">
        <f t="shared" si="9"/>
        <v>0</v>
      </c>
      <c r="CI36" s="74" t="s">
        <v>1413</v>
      </c>
      <c r="CJ36" s="73"/>
      <c r="CK36" s="73"/>
      <c r="CL36" s="73"/>
      <c r="CM36" s="73"/>
      <c r="CN36" s="73"/>
      <c r="CO36" s="73"/>
      <c r="CP36" s="213"/>
      <c r="CQ36" s="208" t="str">
        <f t="shared" si="6"/>
        <v>OPERATIVO</v>
      </c>
      <c r="CR36" s="215">
        <f t="shared" si="7"/>
        <v>0.5</v>
      </c>
      <c r="CS36" s="216">
        <f>IFERROR(SUM($BI36:BI36)/SUM($AW36:AW36),0)</f>
        <v>0</v>
      </c>
      <c r="CT36" s="216">
        <f>IFERROR(SUM($BI36:BJ36)/SUM($AW36:AX36),0)</f>
        <v>0</v>
      </c>
      <c r="CU36" s="216">
        <f>IFERROR(SUM($BI36:BK36)/SUM($AW36:AY36),0)</f>
        <v>1</v>
      </c>
      <c r="CV36" s="216">
        <f>IFERROR(SUM($BI36:BL36)/SUM($AW36:AZ36),0)</f>
        <v>1</v>
      </c>
      <c r="CW36" s="216">
        <f>IFERROR(SUM($BI36:BM36)/SUM($AW36:BA36),0)</f>
        <v>1</v>
      </c>
      <c r="CX36" s="216">
        <f>IFERROR(SUM($BI36:BN36)/SUM($AW36:BB36),0)</f>
        <v>1</v>
      </c>
      <c r="CY36" s="216">
        <f>IFERROR(SUM($BI36:BO36)/SUM($AW36:BC36),0)</f>
        <v>1</v>
      </c>
      <c r="CZ36" s="216">
        <f>IFERROR(SUM($BI36:BP36)/SUM($AW36:BD36),0)</f>
        <v>1</v>
      </c>
      <c r="DA36" s="216">
        <f>IFERROR(SUM($BI36:BQ36)/SUM($AW36:BE36),0)</f>
        <v>0.66666666666666663</v>
      </c>
      <c r="DB36" s="216">
        <f>IFERROR(SUM($BI36:BR36)/SUM($AW36:BF36),0)</f>
        <v>0.66666666666666663</v>
      </c>
      <c r="DC36" s="216">
        <f>IFERROR(SUM($BI36:BS36)/SUM($AW36:BG36),0)</f>
        <v>0.66666666666666663</v>
      </c>
      <c r="DD36" s="216">
        <f>IFERROR(SUM($BI36:BT36)/SUM($AW36:BH36),0)</f>
        <v>0.5</v>
      </c>
      <c r="DE36" s="254" t="str">
        <f t="shared" si="10"/>
        <v>0</v>
      </c>
      <c r="DF36" s="255" t="str">
        <f>IFERROR(SUM($BI36:BJ36)/SUM($AW36:AX36),"0")</f>
        <v>0</v>
      </c>
      <c r="DG36" s="256">
        <f>IFERROR(SUM($BI36:BK36)/SUM($AW36:AY36),"0")</f>
        <v>1</v>
      </c>
      <c r="DH36" s="256">
        <f>IFERROR(SUM($BI36:BL36)/SUM($AW36:AZ36),"0")</f>
        <v>1</v>
      </c>
      <c r="DI36" s="256">
        <f>IFERROR(SUM($BI36:BM36)/SUM($AW36:BA36),"0")</f>
        <v>1</v>
      </c>
      <c r="DJ36" s="256">
        <f>IFERROR(SUM($BI36:BN36)/SUM($AW36:BB36),"0")</f>
        <v>1</v>
      </c>
      <c r="DK36" s="256">
        <f>IFERROR(SUM($BI36:BO36)/SUM($AW36:BC36),"0")</f>
        <v>1</v>
      </c>
      <c r="DL36" s="256">
        <f>IFERROR(SUM($BI36:BP36)/SUM($AW36:BD36),"0")</f>
        <v>1</v>
      </c>
      <c r="DM36" s="256">
        <f>IFERROR(SUM($BI36:BQ36)/SUM($AW36:BE36),"0")</f>
        <v>0.66666666666666663</v>
      </c>
      <c r="DN36" s="256">
        <f>IFERROR(SUM($BI36:BR36)/SUM($AW36:BF36),"0")</f>
        <v>0.66666666666666663</v>
      </c>
      <c r="DO36" s="256">
        <f>IFERROR(SUM($BI36:BS36)/SUM($AW36:BG36),"0")</f>
        <v>0.66666666666666663</v>
      </c>
      <c r="DP36" s="257">
        <f>IFERROR(SUM($BI36:BT36)/SUM($AW36:BH36),"0")</f>
        <v>0.5</v>
      </c>
    </row>
    <row r="37" spans="1:120" s="226" customFormat="1" ht="39" customHeight="1" x14ac:dyDescent="0.25">
      <c r="A37" s="177" t="s">
        <v>553</v>
      </c>
      <c r="B37" s="161" t="s">
        <v>353</v>
      </c>
      <c r="C37" s="161" t="s">
        <v>574</v>
      </c>
      <c r="D37" s="345" t="s">
        <v>319</v>
      </c>
      <c r="E37" s="162" t="s">
        <v>443</v>
      </c>
      <c r="F37" s="163" t="s">
        <v>575</v>
      </c>
      <c r="G37" s="197" t="s">
        <v>353</v>
      </c>
      <c r="H37" s="198" t="s">
        <v>576</v>
      </c>
      <c r="I37" s="199" t="s">
        <v>357</v>
      </c>
      <c r="J37" s="176" t="s">
        <v>358</v>
      </c>
      <c r="K37" s="176" t="s">
        <v>181</v>
      </c>
      <c r="L37" s="176" t="s">
        <v>448</v>
      </c>
      <c r="M37" s="176"/>
      <c r="N37" s="176"/>
      <c r="O37" s="176"/>
      <c r="P37" s="198" t="s">
        <v>577</v>
      </c>
      <c r="Q37" s="198" t="s">
        <v>578</v>
      </c>
      <c r="R37" s="198" t="s">
        <v>577</v>
      </c>
      <c r="S37" s="198" t="s">
        <v>233</v>
      </c>
      <c r="T37" s="198" t="s">
        <v>579</v>
      </c>
      <c r="U37" s="198" t="s">
        <v>233</v>
      </c>
      <c r="V37" s="198" t="s">
        <v>580</v>
      </c>
      <c r="W37" s="198" t="s">
        <v>233</v>
      </c>
      <c r="X37" s="198">
        <v>0</v>
      </c>
      <c r="Y37" s="198">
        <v>0</v>
      </c>
      <c r="Z37" s="166" t="s">
        <v>215</v>
      </c>
      <c r="AA37" s="176" t="s">
        <v>456</v>
      </c>
      <c r="AB37" s="176" t="s">
        <v>217</v>
      </c>
      <c r="AC37" s="198" t="s">
        <v>1241</v>
      </c>
      <c r="AD37" s="200" t="s">
        <v>368</v>
      </c>
      <c r="AE37" s="176" t="s">
        <v>369</v>
      </c>
      <c r="AF37" s="176">
        <v>4</v>
      </c>
      <c r="AG37" s="176">
        <v>4</v>
      </c>
      <c r="AH37" s="429">
        <v>3</v>
      </c>
      <c r="AI37" s="305">
        <v>100</v>
      </c>
      <c r="AJ37" s="176">
        <v>3</v>
      </c>
      <c r="AK37" s="176">
        <v>4</v>
      </c>
      <c r="AL37" s="191">
        <v>5</v>
      </c>
      <c r="AM37" s="171">
        <v>4</v>
      </c>
      <c r="AN37" s="433">
        <v>3</v>
      </c>
      <c r="AO37" s="432">
        <v>100</v>
      </c>
      <c r="AP37" s="512">
        <v>2</v>
      </c>
      <c r="AQ37" s="191">
        <v>0</v>
      </c>
      <c r="AR37" s="123">
        <f t="shared" si="1"/>
        <v>1.25</v>
      </c>
      <c r="AS37" s="123">
        <f t="shared" si="2"/>
        <v>1</v>
      </c>
      <c r="AT37" s="123">
        <f t="shared" si="3"/>
        <v>1</v>
      </c>
      <c r="AU37" s="123">
        <f t="shared" si="4"/>
        <v>0.66666666666666663</v>
      </c>
      <c r="AV37" s="123">
        <f t="shared" si="5"/>
        <v>0</v>
      </c>
      <c r="AW37" s="187">
        <v>0</v>
      </c>
      <c r="AX37" s="187">
        <v>0</v>
      </c>
      <c r="AY37" s="187">
        <v>1</v>
      </c>
      <c r="AZ37" s="187">
        <v>0</v>
      </c>
      <c r="BA37" s="187">
        <v>0</v>
      </c>
      <c r="BB37" s="187">
        <v>1</v>
      </c>
      <c r="BC37" s="187">
        <v>0</v>
      </c>
      <c r="BD37" s="187">
        <v>0</v>
      </c>
      <c r="BE37" s="187">
        <v>1</v>
      </c>
      <c r="BF37" s="187">
        <v>0</v>
      </c>
      <c r="BG37" s="187">
        <v>0</v>
      </c>
      <c r="BH37" s="187">
        <v>0</v>
      </c>
      <c r="BI37" s="466">
        <v>0</v>
      </c>
      <c r="BJ37" s="466">
        <v>0</v>
      </c>
      <c r="BK37" s="466">
        <v>1</v>
      </c>
      <c r="BL37" s="466">
        <v>0</v>
      </c>
      <c r="BM37" s="466">
        <v>0</v>
      </c>
      <c r="BN37" s="516">
        <v>1</v>
      </c>
      <c r="BO37" s="466">
        <v>0</v>
      </c>
      <c r="BP37" s="466">
        <v>0</v>
      </c>
      <c r="BQ37" s="466">
        <v>0</v>
      </c>
      <c r="BR37" s="466">
        <v>0</v>
      </c>
      <c r="BS37" s="466">
        <v>0</v>
      </c>
      <c r="BT37" s="466">
        <v>0</v>
      </c>
      <c r="BU37" s="179" t="s">
        <v>1269</v>
      </c>
      <c r="BV37" s="179" t="s">
        <v>1269</v>
      </c>
      <c r="BW37" s="179" t="s">
        <v>1284</v>
      </c>
      <c r="BX37" s="179" t="s">
        <v>1269</v>
      </c>
      <c r="BY37" s="179" t="s">
        <v>1269</v>
      </c>
      <c r="BZ37" s="164" t="s">
        <v>1388</v>
      </c>
      <c r="CA37" s="179" t="s">
        <v>1269</v>
      </c>
      <c r="CB37" s="179" t="s">
        <v>1269</v>
      </c>
      <c r="CC37" s="164"/>
      <c r="CD37" s="179" t="s">
        <v>1269</v>
      </c>
      <c r="CE37" s="179" t="s">
        <v>1269</v>
      </c>
      <c r="CF37" s="164"/>
      <c r="CG37" s="95"/>
      <c r="CH37" s="504">
        <f t="shared" si="9"/>
        <v>1</v>
      </c>
      <c r="CI37" s="74" t="s">
        <v>1413</v>
      </c>
      <c r="CJ37" s="75">
        <v>0</v>
      </c>
      <c r="CK37" s="75">
        <v>0.59</v>
      </c>
      <c r="CL37" s="75">
        <v>0.6</v>
      </c>
      <c r="CM37" s="75">
        <v>0.84</v>
      </c>
      <c r="CN37" s="75">
        <v>0.85</v>
      </c>
      <c r="CO37" s="75">
        <v>1</v>
      </c>
      <c r="CP37" s="213"/>
      <c r="CQ37" s="208" t="str">
        <f t="shared" si="6"/>
        <v>TÁCTICO</v>
      </c>
      <c r="CR37" s="215">
        <f t="shared" si="7"/>
        <v>0.66666666666666663</v>
      </c>
      <c r="CS37" s="216">
        <f>IFERROR(SUM($BI37:BI37)/SUM($AW37:AW37),0)</f>
        <v>0</v>
      </c>
      <c r="CT37" s="216">
        <f>IFERROR(SUM($BI37:BJ37)/SUM($AW37:AX37),0)</f>
        <v>0</v>
      </c>
      <c r="CU37" s="216">
        <f>IFERROR(SUM($BI37:BK37)/SUM($AW37:AY37),0)</f>
        <v>1</v>
      </c>
      <c r="CV37" s="216">
        <f>IFERROR(SUM($BI37:BL37)/SUM($AW37:AZ37),0)</f>
        <v>1</v>
      </c>
      <c r="CW37" s="216">
        <f>IFERROR(SUM($BI37:BM37)/SUM($AW37:BA37),0)</f>
        <v>1</v>
      </c>
      <c r="CX37" s="216">
        <f>IFERROR(SUM($BI37:BN37)/SUM($AW37:BB37),0)</f>
        <v>1</v>
      </c>
      <c r="CY37" s="216">
        <f>IFERROR(SUM($BI37:BO37)/SUM($AW37:BC37),0)</f>
        <v>1</v>
      </c>
      <c r="CZ37" s="216">
        <f>IFERROR(SUM($BI37:BP37)/SUM($AW37:BD37),0)</f>
        <v>1</v>
      </c>
      <c r="DA37" s="216">
        <f>IFERROR(SUM($BI37:BQ37)/SUM($AW37:BE37),0)</f>
        <v>0.66666666666666663</v>
      </c>
      <c r="DB37" s="216">
        <f>IFERROR(SUM($BI37:BR37)/SUM($AW37:BF37),0)</f>
        <v>0.66666666666666663</v>
      </c>
      <c r="DC37" s="216">
        <f>IFERROR(SUM($BI37:BS37)/SUM($AW37:BG37),0)</f>
        <v>0.66666666666666663</v>
      </c>
      <c r="DD37" s="216">
        <f>IFERROR(SUM($BI37:BT37)/SUM($AW37:BH37),0)</f>
        <v>0.66666666666666663</v>
      </c>
      <c r="DE37" s="250" t="str">
        <f t="shared" si="10"/>
        <v>0</v>
      </c>
      <c r="DF37" s="251" t="str">
        <f>IFERROR(SUM($BI37:BJ37)/SUM($AW37:AX37),"0")</f>
        <v>0</v>
      </c>
      <c r="DG37" s="252">
        <f>IFERROR(SUM($BI37:BK37)/SUM($AW37:AY37),"0")</f>
        <v>1</v>
      </c>
      <c r="DH37" s="252">
        <f>IFERROR(SUM($BI37:BL37)/SUM($AW37:AZ37),"0")</f>
        <v>1</v>
      </c>
      <c r="DI37" s="252">
        <f>IFERROR(SUM($BI37:BM37)/SUM($AW37:BA37),"0")</f>
        <v>1</v>
      </c>
      <c r="DJ37" s="252">
        <f>IFERROR(SUM($BI37:BN37)/SUM($AW37:BB37),"0")</f>
        <v>1</v>
      </c>
      <c r="DK37" s="252">
        <f>IFERROR(SUM($BI37:BO37)/SUM($AW37:BC37),"0")</f>
        <v>1</v>
      </c>
      <c r="DL37" s="252">
        <f>IFERROR(SUM($BI37:BP37)/SUM($AW37:BD37),"0")</f>
        <v>1</v>
      </c>
      <c r="DM37" s="252">
        <f>IFERROR(SUM($BI37:BQ37)/SUM($AW37:BE37),"0")</f>
        <v>0.66666666666666663</v>
      </c>
      <c r="DN37" s="252">
        <f>IFERROR(SUM($BI37:BR37)/SUM($AW37:BF37),"0")</f>
        <v>0.66666666666666663</v>
      </c>
      <c r="DO37" s="252">
        <f>IFERROR(SUM($BI37:BS37)/SUM($AW37:BG37),"0")</f>
        <v>0.66666666666666663</v>
      </c>
      <c r="DP37" s="253">
        <f>IFERROR(SUM($BI37:BT37)/SUM($AW37:BH37),"0")</f>
        <v>0.66666666666666663</v>
      </c>
    </row>
    <row r="38" spans="1:120" s="226" customFormat="1" ht="39" customHeight="1" x14ac:dyDescent="0.25">
      <c r="A38" s="177" t="s">
        <v>553</v>
      </c>
      <c r="B38" s="161" t="s">
        <v>353</v>
      </c>
      <c r="C38" s="161" t="s">
        <v>581</v>
      </c>
      <c r="D38" s="345" t="s">
        <v>319</v>
      </c>
      <c r="E38" s="162" t="s">
        <v>443</v>
      </c>
      <c r="F38" s="189" t="s">
        <v>582</v>
      </c>
      <c r="G38" s="161" t="s">
        <v>353</v>
      </c>
      <c r="H38" s="176" t="s">
        <v>583</v>
      </c>
      <c r="I38" s="164" t="s">
        <v>357</v>
      </c>
      <c r="J38" s="176" t="s">
        <v>358</v>
      </c>
      <c r="K38" s="176" t="s">
        <v>181</v>
      </c>
      <c r="L38" s="176" t="s">
        <v>448</v>
      </c>
      <c r="M38" s="176"/>
      <c r="N38" s="176"/>
      <c r="O38" s="176"/>
      <c r="P38" s="176" t="s">
        <v>1242</v>
      </c>
      <c r="Q38" s="176" t="s">
        <v>584</v>
      </c>
      <c r="R38" s="176" t="s">
        <v>1243</v>
      </c>
      <c r="S38" s="198" t="s">
        <v>233</v>
      </c>
      <c r="T38" s="176" t="s">
        <v>585</v>
      </c>
      <c r="U38" s="176" t="s">
        <v>233</v>
      </c>
      <c r="V38" s="176" t="s">
        <v>376</v>
      </c>
      <c r="W38" s="176" t="s">
        <v>233</v>
      </c>
      <c r="X38" s="176">
        <v>0</v>
      </c>
      <c r="Y38" s="176">
        <v>0</v>
      </c>
      <c r="Z38" s="474" t="s">
        <v>193</v>
      </c>
      <c r="AA38" s="176" t="s">
        <v>456</v>
      </c>
      <c r="AB38" s="176" t="s">
        <v>195</v>
      </c>
      <c r="AC38" s="176" t="s">
        <v>573</v>
      </c>
      <c r="AD38" s="164" t="s">
        <v>573</v>
      </c>
      <c r="AE38" s="176" t="s">
        <v>369</v>
      </c>
      <c r="AF38" s="164">
        <v>0</v>
      </c>
      <c r="AG38" s="191">
        <v>0</v>
      </c>
      <c r="AH38" s="428">
        <v>30</v>
      </c>
      <c r="AI38" s="305">
        <v>100</v>
      </c>
      <c r="AJ38" s="191">
        <v>28</v>
      </c>
      <c r="AK38" s="191"/>
      <c r="AL38" s="164">
        <v>0</v>
      </c>
      <c r="AM38" s="171">
        <v>0</v>
      </c>
      <c r="AN38" s="431">
        <v>24</v>
      </c>
      <c r="AO38" s="432">
        <v>100</v>
      </c>
      <c r="AP38" s="512">
        <v>24</v>
      </c>
      <c r="AQ38" s="191">
        <v>0</v>
      </c>
      <c r="AR38" s="123" t="str">
        <f t="shared" si="1"/>
        <v>0</v>
      </c>
      <c r="AS38" s="123" t="str">
        <f t="shared" si="2"/>
        <v>0</v>
      </c>
      <c r="AT38" s="123">
        <f t="shared" si="3"/>
        <v>1</v>
      </c>
      <c r="AU38" s="123">
        <f t="shared" si="4"/>
        <v>0.8571428571428571</v>
      </c>
      <c r="AV38" s="123" t="str">
        <f t="shared" si="5"/>
        <v>0</v>
      </c>
      <c r="AW38" s="187">
        <v>0</v>
      </c>
      <c r="AX38" s="187">
        <v>0</v>
      </c>
      <c r="AY38" s="187">
        <v>28</v>
      </c>
      <c r="AZ38" s="187">
        <v>0</v>
      </c>
      <c r="BA38" s="187">
        <v>0</v>
      </c>
      <c r="BB38" s="187">
        <v>28</v>
      </c>
      <c r="BC38" s="187">
        <v>0</v>
      </c>
      <c r="BD38" s="187">
        <v>0</v>
      </c>
      <c r="BE38" s="187">
        <v>28</v>
      </c>
      <c r="BF38" s="187">
        <v>0</v>
      </c>
      <c r="BG38" s="187">
        <v>0</v>
      </c>
      <c r="BH38" s="187">
        <v>28</v>
      </c>
      <c r="BI38" s="466">
        <v>0</v>
      </c>
      <c r="BJ38" s="466">
        <v>0</v>
      </c>
      <c r="BK38" s="466">
        <v>23</v>
      </c>
      <c r="BL38" s="466">
        <v>0</v>
      </c>
      <c r="BM38" s="466">
        <v>0</v>
      </c>
      <c r="BN38" s="516">
        <v>25</v>
      </c>
      <c r="BO38" s="466">
        <v>0</v>
      </c>
      <c r="BP38" s="466">
        <v>0</v>
      </c>
      <c r="BQ38" s="466">
        <v>0</v>
      </c>
      <c r="BR38" s="466">
        <v>0</v>
      </c>
      <c r="BS38" s="466">
        <v>0</v>
      </c>
      <c r="BT38" s="466">
        <v>0</v>
      </c>
      <c r="BU38" s="179" t="s">
        <v>1269</v>
      </c>
      <c r="BV38" s="179" t="s">
        <v>1269</v>
      </c>
      <c r="BW38" s="179" t="s">
        <v>1285</v>
      </c>
      <c r="BX38" s="179" t="s">
        <v>1269</v>
      </c>
      <c r="BY38" s="179" t="s">
        <v>1269</v>
      </c>
      <c r="BZ38" s="179" t="s">
        <v>1389</v>
      </c>
      <c r="CA38" s="179" t="s">
        <v>1269</v>
      </c>
      <c r="CB38" s="179" t="s">
        <v>1269</v>
      </c>
      <c r="CC38" s="179"/>
      <c r="CD38" s="179" t="s">
        <v>1269</v>
      </c>
      <c r="CE38" s="179" t="s">
        <v>1269</v>
      </c>
      <c r="CF38" s="179"/>
      <c r="CG38" s="92"/>
      <c r="CH38" s="504">
        <f t="shared" si="9"/>
        <v>4</v>
      </c>
      <c r="CI38" s="74" t="s">
        <v>1413</v>
      </c>
      <c r="CJ38" s="73">
        <v>0</v>
      </c>
      <c r="CK38" s="73">
        <v>0.59</v>
      </c>
      <c r="CL38" s="73">
        <v>0.6</v>
      </c>
      <c r="CM38" s="73">
        <v>0.84</v>
      </c>
      <c r="CN38" s="73">
        <v>0.85</v>
      </c>
      <c r="CO38" s="73">
        <v>1</v>
      </c>
      <c r="CP38" s="213"/>
      <c r="CQ38" s="208" t="str">
        <f t="shared" si="6"/>
        <v>TÁCTICO</v>
      </c>
      <c r="CR38" s="215">
        <f t="shared" si="7"/>
        <v>0.42857142857142855</v>
      </c>
      <c r="CS38" s="216">
        <f>IFERROR(SUM($BI38:BI38)/SUM($AW38:AW38),0)</f>
        <v>0</v>
      </c>
      <c r="CT38" s="216">
        <f>IFERROR(SUM($BI38:BJ38)/SUM($AW38:AX38),0)</f>
        <v>0</v>
      </c>
      <c r="CU38" s="216">
        <f>IFERROR(SUM($BI38:BK38)/SUM($AW38:AY38),0)</f>
        <v>0.8214285714285714</v>
      </c>
      <c r="CV38" s="216">
        <f>IFERROR(SUM($BI38:BL38)/SUM($AW38:AZ38),0)</f>
        <v>0.8214285714285714</v>
      </c>
      <c r="CW38" s="216">
        <f>IFERROR(SUM($BI38:BM38)/SUM($AW38:BA38),0)</f>
        <v>0.8214285714285714</v>
      </c>
      <c r="CX38" s="216">
        <f>IFERROR(SUM($BI38:BN38)/SUM($AW38:BB38),0)</f>
        <v>0.8571428571428571</v>
      </c>
      <c r="CY38" s="216">
        <f>IFERROR(SUM($BI38:BO38)/SUM($AW38:BC38),0)</f>
        <v>0.8571428571428571</v>
      </c>
      <c r="CZ38" s="216">
        <f>IFERROR(SUM($BI38:BP38)/SUM($AW38:BD38),0)</f>
        <v>0.8571428571428571</v>
      </c>
      <c r="DA38" s="216">
        <f>IFERROR(SUM($BI38:BQ38)/SUM($AW38:BE38),0)</f>
        <v>0.5714285714285714</v>
      </c>
      <c r="DB38" s="216">
        <f>IFERROR(SUM($BI38:BR38)/SUM($AW38:BF38),0)</f>
        <v>0.5714285714285714</v>
      </c>
      <c r="DC38" s="216">
        <f>IFERROR(SUM($BI38:BS38)/SUM($AW38:BG38),0)</f>
        <v>0.5714285714285714</v>
      </c>
      <c r="DD38" s="216">
        <f>IFERROR(SUM($BI38:BT38)/SUM($AW38:BH38),0)</f>
        <v>0.42857142857142855</v>
      </c>
      <c r="DE38" s="250" t="str">
        <f t="shared" si="10"/>
        <v>0</v>
      </c>
      <c r="DF38" s="251" t="str">
        <f>IFERROR(SUM($BI38:BJ38)/SUM($AW38:AX38),"0")</f>
        <v>0</v>
      </c>
      <c r="DG38" s="252">
        <f>IFERROR(SUM($BI38:BK38)/SUM($AW38:AY38),"0")</f>
        <v>0.8214285714285714</v>
      </c>
      <c r="DH38" s="252">
        <f>IFERROR(SUM($BI38:BL38)/SUM($AW38:AZ38),"0")</f>
        <v>0.8214285714285714</v>
      </c>
      <c r="DI38" s="252">
        <f>IFERROR(SUM($BI38:BM38)/SUM($AW38:BA38),"0")</f>
        <v>0.8214285714285714</v>
      </c>
      <c r="DJ38" s="252">
        <f>IFERROR(SUM($BI38:BN38)/SUM($AW38:BB38),"0")</f>
        <v>0.8571428571428571</v>
      </c>
      <c r="DK38" s="252">
        <f>IFERROR(SUM($BI38:BO38)/SUM($AW38:BC38),"0")</f>
        <v>0.8571428571428571</v>
      </c>
      <c r="DL38" s="252">
        <f>IFERROR(SUM($BI38:BP38)/SUM($AW38:BD38),"0")</f>
        <v>0.8571428571428571</v>
      </c>
      <c r="DM38" s="252">
        <f>IFERROR(SUM($BI38:BQ38)/SUM($AW38:BE38),"0")</f>
        <v>0.5714285714285714</v>
      </c>
      <c r="DN38" s="252">
        <f>IFERROR(SUM($BI38:BR38)/SUM($AW38:BF38),"0")</f>
        <v>0.5714285714285714</v>
      </c>
      <c r="DO38" s="252">
        <f>IFERROR(SUM($BI38:BS38)/SUM($AW38:BG38),"0")</f>
        <v>0.5714285714285714</v>
      </c>
      <c r="DP38" s="253">
        <f>IFERROR(SUM($BI38:BT38)/SUM($AW38:BH38),"0")</f>
        <v>0.42857142857142855</v>
      </c>
    </row>
    <row r="39" spans="1:120" s="226" customFormat="1" ht="39" customHeight="1" x14ac:dyDescent="0.25">
      <c r="A39" s="177" t="s">
        <v>586</v>
      </c>
      <c r="B39" s="161" t="s">
        <v>587</v>
      </c>
      <c r="C39" s="161" t="s">
        <v>588</v>
      </c>
      <c r="D39" s="345" t="s">
        <v>319</v>
      </c>
      <c r="E39" s="162" t="s">
        <v>443</v>
      </c>
      <c r="F39" s="189" t="s">
        <v>1145</v>
      </c>
      <c r="G39" s="161" t="s">
        <v>587</v>
      </c>
      <c r="H39" s="176" t="s">
        <v>590</v>
      </c>
      <c r="I39" s="164" t="s">
        <v>357</v>
      </c>
      <c r="J39" s="176" t="s">
        <v>591</v>
      </c>
      <c r="K39" s="176" t="s">
        <v>181</v>
      </c>
      <c r="L39" s="176" t="s">
        <v>448</v>
      </c>
      <c r="M39" s="176" t="s">
        <v>406</v>
      </c>
      <c r="N39" s="176"/>
      <c r="O39" s="176"/>
      <c r="P39" s="176" t="s">
        <v>592</v>
      </c>
      <c r="Q39" s="176" t="s">
        <v>208</v>
      </c>
      <c r="R39" s="176" t="s">
        <v>593</v>
      </c>
      <c r="S39" s="176" t="s">
        <v>594</v>
      </c>
      <c r="T39" s="176" t="s">
        <v>595</v>
      </c>
      <c r="U39" s="176" t="s">
        <v>1244</v>
      </c>
      <c r="V39" s="176" t="s">
        <v>596</v>
      </c>
      <c r="W39" s="176" t="s">
        <v>597</v>
      </c>
      <c r="X39" s="176">
        <v>0</v>
      </c>
      <c r="Y39" s="176">
        <v>0</v>
      </c>
      <c r="Z39" s="166" t="s">
        <v>215</v>
      </c>
      <c r="AA39" s="176" t="s">
        <v>456</v>
      </c>
      <c r="AB39" s="176" t="s">
        <v>217</v>
      </c>
      <c r="AC39" s="176" t="s">
        <v>598</v>
      </c>
      <c r="AD39" s="164" t="s">
        <v>599</v>
      </c>
      <c r="AE39" s="176" t="s">
        <v>600</v>
      </c>
      <c r="AF39" s="164">
        <v>0</v>
      </c>
      <c r="AG39" s="191">
        <v>100</v>
      </c>
      <c r="AH39" s="428">
        <v>100</v>
      </c>
      <c r="AI39" s="305">
        <v>100</v>
      </c>
      <c r="AJ39" s="191">
        <v>100</v>
      </c>
      <c r="AK39" s="191">
        <v>100</v>
      </c>
      <c r="AL39" s="164">
        <v>0</v>
      </c>
      <c r="AM39" s="171">
        <v>100</v>
      </c>
      <c r="AN39" s="428">
        <v>100</v>
      </c>
      <c r="AO39" s="432">
        <v>100</v>
      </c>
      <c r="AP39" s="511">
        <v>45.15</v>
      </c>
      <c r="AQ39" s="191">
        <v>0</v>
      </c>
      <c r="AR39" s="123" t="str">
        <f t="shared" si="1"/>
        <v>0</v>
      </c>
      <c r="AS39" s="123">
        <f t="shared" si="2"/>
        <v>1</v>
      </c>
      <c r="AT39" s="123">
        <f t="shared" si="3"/>
        <v>1</v>
      </c>
      <c r="AU39" s="123">
        <f t="shared" si="4"/>
        <v>0.45150000000000001</v>
      </c>
      <c r="AV39" s="123">
        <f t="shared" si="5"/>
        <v>0</v>
      </c>
      <c r="AW39" s="187">
        <v>0</v>
      </c>
      <c r="AX39" s="187">
        <v>0</v>
      </c>
      <c r="AY39" s="501">
        <v>0.1273</v>
      </c>
      <c r="AZ39" s="187">
        <v>0</v>
      </c>
      <c r="BA39" s="187">
        <v>0</v>
      </c>
      <c r="BB39" s="501">
        <v>0.35759999999999997</v>
      </c>
      <c r="BC39" s="187">
        <v>0</v>
      </c>
      <c r="BD39" s="187">
        <v>0</v>
      </c>
      <c r="BE39" s="501">
        <v>0.30199999999999999</v>
      </c>
      <c r="BF39" s="187">
        <v>0</v>
      </c>
      <c r="BG39" s="187">
        <v>0</v>
      </c>
      <c r="BH39" s="501">
        <v>0.21310000000000001</v>
      </c>
      <c r="BI39" s="461">
        <v>0</v>
      </c>
      <c r="BJ39" s="461">
        <v>0</v>
      </c>
      <c r="BK39" s="461">
        <v>0.1273</v>
      </c>
      <c r="BL39" s="461">
        <v>0</v>
      </c>
      <c r="BM39" s="461">
        <v>0</v>
      </c>
      <c r="BN39" s="509">
        <v>0.32419999999999999</v>
      </c>
      <c r="BO39" s="461">
        <v>0</v>
      </c>
      <c r="BP39" s="461">
        <v>0</v>
      </c>
      <c r="BQ39" s="461">
        <v>0</v>
      </c>
      <c r="BR39" s="461">
        <v>0</v>
      </c>
      <c r="BS39" s="461">
        <v>0</v>
      </c>
      <c r="BT39" s="461">
        <v>0</v>
      </c>
      <c r="BU39" s="179" t="s">
        <v>1269</v>
      </c>
      <c r="BV39" s="179" t="s">
        <v>1269</v>
      </c>
      <c r="BW39" s="179" t="s">
        <v>1286</v>
      </c>
      <c r="BX39" s="179" t="s">
        <v>1269</v>
      </c>
      <c r="BY39" s="179" t="s">
        <v>1269</v>
      </c>
      <c r="BZ39" s="179" t="s">
        <v>1390</v>
      </c>
      <c r="CA39" s="179" t="s">
        <v>1269</v>
      </c>
      <c r="CB39" s="179" t="s">
        <v>1269</v>
      </c>
      <c r="CC39" s="179"/>
      <c r="CD39" s="179" t="s">
        <v>1269</v>
      </c>
      <c r="CE39" s="179" t="s">
        <v>1269</v>
      </c>
      <c r="CF39" s="179"/>
      <c r="CG39" s="92"/>
      <c r="CH39" s="504">
        <f t="shared" si="9"/>
        <v>54.85</v>
      </c>
      <c r="CI39" s="74" t="s">
        <v>1417</v>
      </c>
      <c r="CJ39" s="74"/>
      <c r="CK39" s="74"/>
      <c r="CL39" s="74"/>
      <c r="CM39" s="74"/>
      <c r="CN39" s="74"/>
      <c r="CO39" s="74"/>
      <c r="CP39" s="209" t="s">
        <v>601</v>
      </c>
      <c r="CQ39" s="208" t="str">
        <f t="shared" si="6"/>
        <v>TÁCTICO</v>
      </c>
      <c r="CR39" s="215">
        <f t="shared" si="7"/>
        <v>0.45150000000000001</v>
      </c>
      <c r="CS39" s="216">
        <f>IFERROR(SUM($BI39:BI39)/SUM($AW39:AW39),0)</f>
        <v>0</v>
      </c>
      <c r="CT39" s="216">
        <f>IFERROR(SUM($BI39:BJ39)/SUM($AW39:AX39),0)</f>
        <v>0</v>
      </c>
      <c r="CU39" s="216">
        <f>IFERROR(SUM($BI39:BK39)/SUM($AW39:AY39),0)</f>
        <v>1</v>
      </c>
      <c r="CV39" s="216">
        <f>IFERROR(SUM($BI39:BL39)/SUM($AW39:AZ39),0)</f>
        <v>1</v>
      </c>
      <c r="CW39" s="216">
        <f>IFERROR(SUM($BI39:BM39)/SUM($AW39:BA39),0)</f>
        <v>1</v>
      </c>
      <c r="CX39" s="216">
        <f>IFERROR(SUM($BI39:BN39)/SUM($AW39:BB39),0)</f>
        <v>0.93111981851928238</v>
      </c>
      <c r="CY39" s="216">
        <f>IFERROR(SUM($BI39:BO39)/SUM($AW39:BC39),0)</f>
        <v>0.93111981851928238</v>
      </c>
      <c r="CZ39" s="216">
        <f>IFERROR(SUM($BI39:BP39)/SUM($AW39:BD39),0)</f>
        <v>0.93111981851928238</v>
      </c>
      <c r="DA39" s="216">
        <f>IFERROR(SUM($BI39:BQ39)/SUM($AW39:BE39),0)</f>
        <v>0.57377049180327877</v>
      </c>
      <c r="DB39" s="216">
        <f>IFERROR(SUM($BI39:BR39)/SUM($AW39:BF39),0)</f>
        <v>0.57377049180327877</v>
      </c>
      <c r="DC39" s="216">
        <f>IFERROR(SUM($BI39:BS39)/SUM($AW39:BG39),0)</f>
        <v>0.57377049180327877</v>
      </c>
      <c r="DD39" s="216">
        <f>IFERROR(SUM($BI39:BT39)/SUM($AW39:BH39),0)</f>
        <v>0.45150000000000001</v>
      </c>
      <c r="DE39" s="254" t="str">
        <f t="shared" si="10"/>
        <v>0</v>
      </c>
      <c r="DF39" s="255" t="str">
        <f>IFERROR(SUM($BI39:BJ39)/SUM($AW39:AX39),"0")</f>
        <v>0</v>
      </c>
      <c r="DG39" s="256">
        <f>IFERROR(SUM($BI39:BK39)/SUM($AW39:AY39),"0")</f>
        <v>1</v>
      </c>
      <c r="DH39" s="256">
        <f>IFERROR(SUM($BI39:BL39)/SUM($AW39:AZ39),"0")</f>
        <v>1</v>
      </c>
      <c r="DI39" s="256">
        <f>IFERROR(SUM($BI39:BM39)/SUM($AW39:BA39),"0")</f>
        <v>1</v>
      </c>
      <c r="DJ39" s="256">
        <f>IFERROR(SUM($BI39:BN39)/SUM($AW39:BB39),"0")</f>
        <v>0.93111981851928238</v>
      </c>
      <c r="DK39" s="256">
        <f>IFERROR(SUM($BI39:BO39)/SUM($AW39:BC39),"0")</f>
        <v>0.93111981851928238</v>
      </c>
      <c r="DL39" s="256">
        <f>IFERROR(SUM($BI39:BP39)/SUM($AW39:BD39),"0")</f>
        <v>0.93111981851928238</v>
      </c>
      <c r="DM39" s="256">
        <f>IFERROR(SUM($BI39:BQ39)/SUM($AW39:BE39),"0")</f>
        <v>0.57377049180327877</v>
      </c>
      <c r="DN39" s="256">
        <f>IFERROR(SUM($BI39:BR39)/SUM($AW39:BF39),"0")</f>
        <v>0.57377049180327877</v>
      </c>
      <c r="DO39" s="256">
        <f>IFERROR(SUM($BI39:BS39)/SUM($AW39:BG39),"0")</f>
        <v>0.57377049180327877</v>
      </c>
      <c r="DP39" s="257">
        <f>IFERROR(SUM($BI39:BT39)/SUM($AW39:BH39),"0")</f>
        <v>0.45150000000000001</v>
      </c>
    </row>
    <row r="40" spans="1:120" s="226" customFormat="1" ht="78" customHeight="1" x14ac:dyDescent="0.25">
      <c r="A40" s="382" t="s">
        <v>1110</v>
      </c>
      <c r="B40" s="161" t="s">
        <v>587</v>
      </c>
      <c r="C40" s="161" t="s">
        <v>1096</v>
      </c>
      <c r="D40" s="345" t="s">
        <v>319</v>
      </c>
      <c r="E40" s="162" t="s">
        <v>443</v>
      </c>
      <c r="F40" s="189" t="s">
        <v>1111</v>
      </c>
      <c r="G40" s="161" t="s">
        <v>587</v>
      </c>
      <c r="H40" s="176" t="s">
        <v>1112</v>
      </c>
      <c r="I40" s="164" t="s">
        <v>357</v>
      </c>
      <c r="J40" s="176" t="s">
        <v>591</v>
      </c>
      <c r="K40" s="176" t="s">
        <v>181</v>
      </c>
      <c r="L40" s="176" t="s">
        <v>448</v>
      </c>
      <c r="M40" s="176" t="s">
        <v>406</v>
      </c>
      <c r="N40" s="176"/>
      <c r="O40" s="176"/>
      <c r="P40" s="176" t="s">
        <v>1113</v>
      </c>
      <c r="Q40" s="176" t="s">
        <v>723</v>
      </c>
      <c r="R40" s="176" t="s">
        <v>1114</v>
      </c>
      <c r="S40" s="176" t="s">
        <v>1115</v>
      </c>
      <c r="T40" s="176" t="s">
        <v>1116</v>
      </c>
      <c r="U40" s="176" t="s">
        <v>1117</v>
      </c>
      <c r="V40" s="176" t="s">
        <v>1118</v>
      </c>
      <c r="W40" s="176" t="s">
        <v>1119</v>
      </c>
      <c r="X40" s="176">
        <v>90</v>
      </c>
      <c r="Y40" s="176" t="s">
        <v>1120</v>
      </c>
      <c r="Z40" s="166" t="s">
        <v>193</v>
      </c>
      <c r="AA40" s="176" t="s">
        <v>456</v>
      </c>
      <c r="AB40" s="176" t="s">
        <v>1093</v>
      </c>
      <c r="AC40" s="176" t="s">
        <v>598</v>
      </c>
      <c r="AD40" s="164" t="s">
        <v>599</v>
      </c>
      <c r="AE40" s="176" t="s">
        <v>600</v>
      </c>
      <c r="AF40" s="164">
        <v>0</v>
      </c>
      <c r="AG40" s="191">
        <v>0</v>
      </c>
      <c r="AH40" s="314">
        <v>0</v>
      </c>
      <c r="AI40" s="306">
        <v>0</v>
      </c>
      <c r="AJ40" s="191">
        <v>90</v>
      </c>
      <c r="AK40" s="191">
        <v>0</v>
      </c>
      <c r="AL40" s="164">
        <v>0</v>
      </c>
      <c r="AM40" s="171">
        <v>0</v>
      </c>
      <c r="AN40" s="171">
        <v>0</v>
      </c>
      <c r="AO40" s="316">
        <v>0</v>
      </c>
      <c r="AP40" s="511">
        <v>99.83</v>
      </c>
      <c r="AQ40" s="191">
        <v>0</v>
      </c>
      <c r="AR40" s="123" t="str">
        <f t="shared" si="1"/>
        <v>0</v>
      </c>
      <c r="AS40" s="123" t="str">
        <f t="shared" si="2"/>
        <v>0</v>
      </c>
      <c r="AT40" s="123" t="str">
        <f t="shared" si="3"/>
        <v>0</v>
      </c>
      <c r="AU40" s="123">
        <f t="shared" si="4"/>
        <v>1.1092222222222221</v>
      </c>
      <c r="AV40" s="123" t="str">
        <f t="shared" si="5"/>
        <v>0</v>
      </c>
      <c r="AW40" s="187">
        <v>0</v>
      </c>
      <c r="AX40" s="187">
        <v>0</v>
      </c>
      <c r="AY40" s="501">
        <v>0</v>
      </c>
      <c r="AZ40" s="187">
        <v>0</v>
      </c>
      <c r="BA40" s="187">
        <v>0</v>
      </c>
      <c r="BB40" s="501">
        <v>0.9</v>
      </c>
      <c r="BC40" s="187">
        <v>0</v>
      </c>
      <c r="BD40" s="187">
        <v>0</v>
      </c>
      <c r="BE40" s="501">
        <v>0.9</v>
      </c>
      <c r="BF40" s="187">
        <v>0</v>
      </c>
      <c r="BG40" s="187">
        <v>0</v>
      </c>
      <c r="BH40" s="501">
        <v>0.9</v>
      </c>
      <c r="BI40" s="465">
        <v>0</v>
      </c>
      <c r="BJ40" s="465">
        <v>0</v>
      </c>
      <c r="BK40" s="465">
        <v>0</v>
      </c>
      <c r="BL40" s="465">
        <v>0</v>
      </c>
      <c r="BM40" s="465">
        <v>0</v>
      </c>
      <c r="BN40" s="506">
        <v>0.99829999999999997</v>
      </c>
      <c r="BO40" s="465">
        <v>0</v>
      </c>
      <c r="BP40" s="465">
        <v>0</v>
      </c>
      <c r="BQ40" s="465">
        <v>0</v>
      </c>
      <c r="BR40" s="465">
        <v>0</v>
      </c>
      <c r="BS40" s="465">
        <v>0</v>
      </c>
      <c r="BT40" s="465">
        <v>0</v>
      </c>
      <c r="BU40" s="179" t="s">
        <v>1276</v>
      </c>
      <c r="BV40" s="179" t="s">
        <v>1276</v>
      </c>
      <c r="BW40" s="179" t="s">
        <v>1287</v>
      </c>
      <c r="BX40" s="179" t="s">
        <v>1269</v>
      </c>
      <c r="BY40" s="179" t="s">
        <v>1269</v>
      </c>
      <c r="BZ40" s="179" t="s">
        <v>1391</v>
      </c>
      <c r="CA40" s="179" t="s">
        <v>1269</v>
      </c>
      <c r="CB40" s="179" t="s">
        <v>1269</v>
      </c>
      <c r="CC40" s="179"/>
      <c r="CD40" s="179" t="s">
        <v>1269</v>
      </c>
      <c r="CE40" s="179" t="s">
        <v>1269</v>
      </c>
      <c r="CF40" s="179"/>
      <c r="CG40" s="92"/>
      <c r="CH40" s="504">
        <f t="shared" si="9"/>
        <v>-9.8299999999999983</v>
      </c>
      <c r="CI40" s="74" t="s">
        <v>1413</v>
      </c>
      <c r="CJ40" s="74"/>
      <c r="CK40" s="74"/>
      <c r="CL40" s="74"/>
      <c r="CM40" s="74"/>
      <c r="CN40" s="74"/>
      <c r="CO40" s="74"/>
      <c r="CP40" s="209" t="s">
        <v>601</v>
      </c>
      <c r="CQ40" s="208" t="str">
        <f t="shared" si="6"/>
        <v>TÁCTICO</v>
      </c>
      <c r="CR40" s="215">
        <f t="shared" si="7"/>
        <v>0.3697407407407407</v>
      </c>
      <c r="CS40" s="216">
        <f>IFERROR(SUM($BI40:BI40)/SUM($AW40:AW40),0)</f>
        <v>0</v>
      </c>
      <c r="CT40" s="216">
        <f>IFERROR(SUM($BI40:BJ40)/SUM($AW40:AX40),0)</f>
        <v>0</v>
      </c>
      <c r="CU40" s="216">
        <f>IFERROR(SUM($BI40:BK40)/SUM($AW40:AY40),0)</f>
        <v>0</v>
      </c>
      <c r="CV40" s="216">
        <f>IFERROR(SUM($BI40:BL40)/SUM($AW40:AZ40),0)</f>
        <v>0</v>
      </c>
      <c r="CW40" s="216">
        <f>IFERROR(SUM($BI40:BM40)/SUM($AW40:BA40),0)</f>
        <v>0</v>
      </c>
      <c r="CX40" s="216">
        <f>IFERROR(SUM($BI40:BN40)/SUM($AW40:BB40),0)</f>
        <v>1.1092222222222221</v>
      </c>
      <c r="CY40" s="216">
        <f>IFERROR(SUM($BI40:BO40)/SUM($AW40:BC40),0)</f>
        <v>1.1092222222222221</v>
      </c>
      <c r="CZ40" s="216">
        <f>IFERROR(SUM($BI40:BP40)/SUM($AW40:BD40),0)</f>
        <v>1.1092222222222221</v>
      </c>
      <c r="DA40" s="216">
        <f>IFERROR(SUM($BI40:BQ40)/SUM($AW40:BE40),0)</f>
        <v>0.55461111111111105</v>
      </c>
      <c r="DB40" s="216">
        <f>IFERROR(SUM($BI40:BR40)/SUM($AW40:BF40),0)</f>
        <v>0.55461111111111105</v>
      </c>
      <c r="DC40" s="216">
        <f>IFERROR(SUM($BI40:BS40)/SUM($AW40:BG40),0)</f>
        <v>0.55461111111111105</v>
      </c>
      <c r="DD40" s="216">
        <f>IFERROR(SUM($BI40:BT40)/SUM($AW40:BH40),0)</f>
        <v>0.3697407407407407</v>
      </c>
      <c r="DE40" s="254" t="str">
        <f t="shared" si="10"/>
        <v>0</v>
      </c>
      <c r="DF40" s="255" t="str">
        <f>IFERROR(SUM($BI40:BJ40)/SUM($AW40:AX40),"0")</f>
        <v>0</v>
      </c>
      <c r="DG40" s="256" t="str">
        <f>IFERROR(SUM($BI40:BK40)/SUM($AW40:AY40),"0")</f>
        <v>0</v>
      </c>
      <c r="DH40" s="256" t="str">
        <f>IFERROR(SUM($BI40:BL40)/SUM($AW40:AZ40),"0")</f>
        <v>0</v>
      </c>
      <c r="DI40" s="256" t="str">
        <f>IFERROR(SUM($BI40:BM40)/SUM($AW40:BA40),"0")</f>
        <v>0</v>
      </c>
      <c r="DJ40" s="256">
        <f>IFERROR(SUM($BI40:BN40)/SUM($AW40:BB40),"0")</f>
        <v>1.1092222222222221</v>
      </c>
      <c r="DK40" s="256">
        <f>IFERROR(SUM($BI40:BO40)/SUM($AW40:BC40),"0")</f>
        <v>1.1092222222222221</v>
      </c>
      <c r="DL40" s="256">
        <f>IFERROR(SUM($BI40:BP40)/SUM($AW40:BD40),"0")</f>
        <v>1.1092222222222221</v>
      </c>
      <c r="DM40" s="256">
        <f>IFERROR(SUM($BI40:BQ40)/SUM($AW40:BE40),"0")</f>
        <v>0.55461111111111105</v>
      </c>
      <c r="DN40" s="256">
        <f>IFERROR(SUM($BI40:BR40)/SUM($AW40:BF40),"0")</f>
        <v>0.55461111111111105</v>
      </c>
      <c r="DO40" s="256">
        <f>IFERROR(SUM($BI40:BS40)/SUM($AW40:BG40),"0")</f>
        <v>0.55461111111111105</v>
      </c>
      <c r="DP40" s="257">
        <f>IFERROR(SUM($BI40:BT40)/SUM($AW40:BH40),"0")</f>
        <v>0.3697407407407407</v>
      </c>
    </row>
    <row r="41" spans="1:120" s="226" customFormat="1" ht="39" customHeight="1" x14ac:dyDescent="0.25">
      <c r="A41" s="182" t="s">
        <v>602</v>
      </c>
      <c r="B41" s="161" t="s">
        <v>290</v>
      </c>
      <c r="C41" s="176" t="s">
        <v>603</v>
      </c>
      <c r="D41" s="345" t="s">
        <v>319</v>
      </c>
      <c r="E41" s="162" t="s">
        <v>443</v>
      </c>
      <c r="F41" s="189" t="s">
        <v>1141</v>
      </c>
      <c r="G41" s="161" t="s">
        <v>290</v>
      </c>
      <c r="H41" s="176" t="s">
        <v>605</v>
      </c>
      <c r="I41" s="164" t="s">
        <v>357</v>
      </c>
      <c r="J41" s="176" t="s">
        <v>606</v>
      </c>
      <c r="K41" s="176" t="s">
        <v>181</v>
      </c>
      <c r="L41" s="176" t="s">
        <v>448</v>
      </c>
      <c r="M41" s="176" t="s">
        <v>406</v>
      </c>
      <c r="N41" s="176"/>
      <c r="O41" s="176"/>
      <c r="P41" s="164" t="s">
        <v>607</v>
      </c>
      <c r="Q41" s="176" t="s">
        <v>608</v>
      </c>
      <c r="R41" s="176" t="s">
        <v>609</v>
      </c>
      <c r="S41" s="176" t="s">
        <v>610</v>
      </c>
      <c r="T41" s="176" t="s">
        <v>611</v>
      </c>
      <c r="U41" s="176" t="s">
        <v>612</v>
      </c>
      <c r="V41" s="176" t="s">
        <v>613</v>
      </c>
      <c r="W41" s="176" t="s">
        <v>613</v>
      </c>
      <c r="X41" s="176" t="s">
        <v>614</v>
      </c>
      <c r="Y41" s="176" t="s">
        <v>615</v>
      </c>
      <c r="Z41" s="166" t="s">
        <v>193</v>
      </c>
      <c r="AA41" s="176" t="s">
        <v>456</v>
      </c>
      <c r="AB41" s="176" t="s">
        <v>217</v>
      </c>
      <c r="AC41" s="176" t="s">
        <v>301</v>
      </c>
      <c r="AD41" s="176" t="s">
        <v>301</v>
      </c>
      <c r="AE41" s="176" t="s">
        <v>302</v>
      </c>
      <c r="AF41" s="176">
        <v>0</v>
      </c>
      <c r="AG41" s="191">
        <v>0</v>
      </c>
      <c r="AH41" s="314">
        <v>100</v>
      </c>
      <c r="AI41" s="306">
        <v>100</v>
      </c>
      <c r="AJ41" s="191">
        <v>100</v>
      </c>
      <c r="AK41" s="191">
        <v>100</v>
      </c>
      <c r="AL41" s="191">
        <v>0</v>
      </c>
      <c r="AM41" s="171">
        <v>0</v>
      </c>
      <c r="AN41" s="171">
        <v>100</v>
      </c>
      <c r="AO41" s="316">
        <v>100</v>
      </c>
      <c r="AP41" s="512">
        <v>100</v>
      </c>
      <c r="AQ41" s="191">
        <v>0</v>
      </c>
      <c r="AR41" s="221" t="str">
        <f t="shared" si="1"/>
        <v>0</v>
      </c>
      <c r="AS41" s="221" t="str">
        <f t="shared" si="2"/>
        <v>0</v>
      </c>
      <c r="AT41" s="221">
        <f t="shared" si="3"/>
        <v>1</v>
      </c>
      <c r="AU41" s="221">
        <f t="shared" si="4"/>
        <v>1</v>
      </c>
      <c r="AV41" s="221">
        <f t="shared" si="5"/>
        <v>0</v>
      </c>
      <c r="AW41" s="187">
        <v>0</v>
      </c>
      <c r="AX41" s="187">
        <v>0</v>
      </c>
      <c r="AY41" s="473">
        <v>1</v>
      </c>
      <c r="AZ41" s="187">
        <v>0</v>
      </c>
      <c r="BA41" s="187">
        <v>0</v>
      </c>
      <c r="BB41" s="473">
        <v>1</v>
      </c>
      <c r="BC41" s="187">
        <v>0</v>
      </c>
      <c r="BD41" s="187">
        <v>0</v>
      </c>
      <c r="BE41" s="473">
        <v>1</v>
      </c>
      <c r="BF41" s="187">
        <v>0</v>
      </c>
      <c r="BG41" s="187">
        <v>0</v>
      </c>
      <c r="BH41" s="473">
        <v>1</v>
      </c>
      <c r="BI41" s="465">
        <v>0</v>
      </c>
      <c r="BJ41" s="465">
        <v>0</v>
      </c>
      <c r="BK41" s="461">
        <v>1</v>
      </c>
      <c r="BL41" s="465">
        <v>0</v>
      </c>
      <c r="BM41" s="465">
        <v>0</v>
      </c>
      <c r="BN41" s="509">
        <v>1</v>
      </c>
      <c r="BO41" s="465">
        <v>0</v>
      </c>
      <c r="BP41" s="465">
        <v>0</v>
      </c>
      <c r="BQ41" s="461">
        <v>0</v>
      </c>
      <c r="BR41" s="465">
        <v>0</v>
      </c>
      <c r="BS41" s="465">
        <v>0</v>
      </c>
      <c r="BT41" s="461">
        <v>0</v>
      </c>
      <c r="BU41" s="179" t="s">
        <v>1269</v>
      </c>
      <c r="BV41" s="179" t="s">
        <v>1269</v>
      </c>
      <c r="BW41" s="179" t="s">
        <v>1288</v>
      </c>
      <c r="BX41" s="179" t="s">
        <v>1269</v>
      </c>
      <c r="BY41" s="179" t="s">
        <v>1269</v>
      </c>
      <c r="BZ41" s="179" t="s">
        <v>1392</v>
      </c>
      <c r="CA41" s="179" t="s">
        <v>1269</v>
      </c>
      <c r="CB41" s="179" t="s">
        <v>1269</v>
      </c>
      <c r="CC41" s="179"/>
      <c r="CD41" s="179" t="s">
        <v>1269</v>
      </c>
      <c r="CE41" s="179" t="s">
        <v>1269</v>
      </c>
      <c r="CF41" s="179"/>
      <c r="CG41" s="192"/>
      <c r="CH41" s="504">
        <f t="shared" si="9"/>
        <v>0</v>
      </c>
      <c r="CI41" s="176" t="s">
        <v>1413</v>
      </c>
      <c r="CJ41" s="231">
        <v>0</v>
      </c>
      <c r="CK41" s="231">
        <v>0.7</v>
      </c>
      <c r="CL41" s="231">
        <v>0.71</v>
      </c>
      <c r="CM41" s="231">
        <v>1</v>
      </c>
      <c r="CN41" s="231"/>
      <c r="CO41" s="231"/>
      <c r="CP41" s="232" t="s">
        <v>616</v>
      </c>
      <c r="CQ41" s="223" t="str">
        <f t="shared" si="6"/>
        <v>TÁCTICO</v>
      </c>
      <c r="CR41" s="224">
        <f t="shared" si="7"/>
        <v>0.5</v>
      </c>
      <c r="CS41" s="225">
        <f>IFERROR(SUM($BI41:BI41)/SUM($AW41:AW41),0)</f>
        <v>0</v>
      </c>
      <c r="CT41" s="225">
        <f>IFERROR(SUM($BI41:BJ41)/SUM($AW41:AX41),0)</f>
        <v>0</v>
      </c>
      <c r="CU41" s="225">
        <f>IFERROR(SUM($BI41:BK41)/SUM($AW41:AY41),0)</f>
        <v>1</v>
      </c>
      <c r="CV41" s="225">
        <f>IFERROR(SUM($BI41:BL41)/SUM($AW41:AZ41),0)</f>
        <v>1</v>
      </c>
      <c r="CW41" s="225">
        <f>IFERROR(SUM($BI41:BM41)/SUM($AW41:BA41),0)</f>
        <v>1</v>
      </c>
      <c r="CX41" s="225">
        <f>IFERROR(SUM($BI41:BN41)/SUM($AW41:BB41),0)</f>
        <v>1</v>
      </c>
      <c r="CY41" s="225">
        <f>IFERROR(SUM($BI41:BO41)/SUM($AW41:BC41),0)</f>
        <v>1</v>
      </c>
      <c r="CZ41" s="225">
        <f>IFERROR(SUM($BI41:BP41)/SUM($AW41:BD41),0)</f>
        <v>1</v>
      </c>
      <c r="DA41" s="225">
        <f>IFERROR(SUM($BI41:BQ41)/SUM($AW41:BE41),0)</f>
        <v>0.66666666666666663</v>
      </c>
      <c r="DB41" s="225">
        <f>IFERROR(SUM($BI41:BR41)/SUM($AW41:BF41),0)</f>
        <v>0.66666666666666663</v>
      </c>
      <c r="DC41" s="225">
        <f>IFERROR(SUM($BI41:BS41)/SUM($AW41:BG41),0)</f>
        <v>0.66666666666666663</v>
      </c>
      <c r="DD41" s="225">
        <f>IFERROR(SUM($BI41:BT41)/SUM($AW41:BH41),0)</f>
        <v>0.5</v>
      </c>
      <c r="DE41" s="254" t="str">
        <f t="shared" si="10"/>
        <v>0</v>
      </c>
      <c r="DF41" s="255" t="str">
        <f>IFERROR(SUM($BI41:BJ41)/SUM($AW41:AX41),"0")</f>
        <v>0</v>
      </c>
      <c r="DG41" s="256">
        <f>IFERROR(SUM($BI41:BK41)/SUM($AW41:AY41),"0")</f>
        <v>1</v>
      </c>
      <c r="DH41" s="256">
        <f>IFERROR(SUM($BI41:BL41)/SUM($AW41:AZ41),"0")</f>
        <v>1</v>
      </c>
      <c r="DI41" s="256">
        <f>IFERROR(SUM($BI41:BM41)/SUM($AW41:BA41),"0")</f>
        <v>1</v>
      </c>
      <c r="DJ41" s="256">
        <f>IFERROR(SUM($BI41:BN41)/SUM($AW41:BB41),"0")</f>
        <v>1</v>
      </c>
      <c r="DK41" s="256">
        <f>IFERROR(SUM($BI41:BO41)/SUM($AW41:BC41),"0")</f>
        <v>1</v>
      </c>
      <c r="DL41" s="256">
        <f>IFERROR(SUM($BI41:BP41)/SUM($AW41:BD41),"0")</f>
        <v>1</v>
      </c>
      <c r="DM41" s="256">
        <f>IFERROR(SUM($BI41:BQ41)/SUM($AW41:BE41),"0")</f>
        <v>0.66666666666666663</v>
      </c>
      <c r="DN41" s="256">
        <f>IFERROR(SUM($BI41:BR41)/SUM($AW41:BF41),"0")</f>
        <v>0.66666666666666663</v>
      </c>
      <c r="DO41" s="256">
        <f>IFERROR(SUM($BI41:BS41)/SUM($AW41:BG41),"0")</f>
        <v>0.66666666666666663</v>
      </c>
      <c r="DP41" s="257">
        <f>IFERROR(SUM($BI41:BT41)/SUM($AW41:BH41),"0")</f>
        <v>0.5</v>
      </c>
    </row>
    <row r="42" spans="1:120" s="226" customFormat="1" ht="39" customHeight="1" x14ac:dyDescent="0.25">
      <c r="A42" s="383" t="s">
        <v>1130</v>
      </c>
      <c r="B42" s="161" t="s">
        <v>290</v>
      </c>
      <c r="C42" s="176" t="s">
        <v>923</v>
      </c>
      <c r="D42" s="345" t="s">
        <v>319</v>
      </c>
      <c r="E42" s="162" t="s">
        <v>443</v>
      </c>
      <c r="F42" s="502" t="s">
        <v>1123</v>
      </c>
      <c r="G42" s="161" t="s">
        <v>290</v>
      </c>
      <c r="H42" s="176" t="s">
        <v>1124</v>
      </c>
      <c r="I42" s="164" t="s">
        <v>357</v>
      </c>
      <c r="J42" s="176" t="s">
        <v>294</v>
      </c>
      <c r="K42" s="176" t="s">
        <v>181</v>
      </c>
      <c r="L42" s="176" t="s">
        <v>448</v>
      </c>
      <c r="M42" s="176" t="s">
        <v>406</v>
      </c>
      <c r="N42" s="176"/>
      <c r="O42" s="176"/>
      <c r="P42" s="164" t="s">
        <v>1125</v>
      </c>
      <c r="Q42" s="176" t="s">
        <v>723</v>
      </c>
      <c r="R42" s="176" t="s">
        <v>1126</v>
      </c>
      <c r="S42" s="176" t="s">
        <v>1127</v>
      </c>
      <c r="T42" s="176" t="s">
        <v>1245</v>
      </c>
      <c r="U42" s="176" t="s">
        <v>1128</v>
      </c>
      <c r="V42" s="176" t="s">
        <v>1129</v>
      </c>
      <c r="W42" s="176" t="s">
        <v>1129</v>
      </c>
      <c r="X42" s="176" t="s">
        <v>233</v>
      </c>
      <c r="Y42" s="176" t="s">
        <v>233</v>
      </c>
      <c r="Z42" s="166" t="s">
        <v>193</v>
      </c>
      <c r="AA42" s="176" t="s">
        <v>1092</v>
      </c>
      <c r="AB42" s="176" t="s">
        <v>1093</v>
      </c>
      <c r="AC42" s="176" t="s">
        <v>301</v>
      </c>
      <c r="AD42" s="176" t="s">
        <v>301</v>
      </c>
      <c r="AE42" s="176" t="s">
        <v>302</v>
      </c>
      <c r="AF42" s="176">
        <v>0</v>
      </c>
      <c r="AG42" s="191">
        <v>0</v>
      </c>
      <c r="AH42" s="314">
        <v>0</v>
      </c>
      <c r="AI42" s="306">
        <v>0</v>
      </c>
      <c r="AJ42" s="191">
        <v>70</v>
      </c>
      <c r="AK42" s="191">
        <v>0</v>
      </c>
      <c r="AL42" s="191">
        <v>0</v>
      </c>
      <c r="AM42" s="171">
        <v>0</v>
      </c>
      <c r="AN42" s="171">
        <v>0</v>
      </c>
      <c r="AO42" s="316">
        <v>0</v>
      </c>
      <c r="AP42" s="515">
        <v>98.7</v>
      </c>
      <c r="AQ42" s="191">
        <v>0</v>
      </c>
      <c r="AR42" s="221" t="str">
        <f t="shared" si="1"/>
        <v>0</v>
      </c>
      <c r="AS42" s="221" t="str">
        <f t="shared" si="2"/>
        <v>0</v>
      </c>
      <c r="AT42" s="221" t="str">
        <f t="shared" si="3"/>
        <v>0</v>
      </c>
      <c r="AU42" s="221">
        <f t="shared" si="4"/>
        <v>1.4100000000000001</v>
      </c>
      <c r="AV42" s="221" t="str">
        <f t="shared" si="5"/>
        <v>0</v>
      </c>
      <c r="AW42" s="187">
        <v>0</v>
      </c>
      <c r="AX42" s="187">
        <v>0</v>
      </c>
      <c r="AY42" s="187">
        <v>0</v>
      </c>
      <c r="AZ42" s="187">
        <v>0</v>
      </c>
      <c r="BA42" s="187">
        <v>0</v>
      </c>
      <c r="BB42" s="187">
        <v>70</v>
      </c>
      <c r="BC42" s="187">
        <v>0</v>
      </c>
      <c r="BD42" s="187">
        <v>0</v>
      </c>
      <c r="BE42" s="187">
        <v>0</v>
      </c>
      <c r="BF42" s="187">
        <v>0</v>
      </c>
      <c r="BG42" s="187">
        <v>0</v>
      </c>
      <c r="BH42" s="187">
        <v>70</v>
      </c>
      <c r="BI42" s="464">
        <v>0</v>
      </c>
      <c r="BJ42" s="464">
        <v>0</v>
      </c>
      <c r="BK42" s="464">
        <v>0</v>
      </c>
      <c r="BL42" s="464">
        <v>0</v>
      </c>
      <c r="BM42" s="464">
        <v>0</v>
      </c>
      <c r="BN42" s="520">
        <v>0.98699999999999999</v>
      </c>
      <c r="BO42" s="464">
        <v>0</v>
      </c>
      <c r="BP42" s="464">
        <v>0</v>
      </c>
      <c r="BQ42" s="464">
        <v>0</v>
      </c>
      <c r="BR42" s="464">
        <v>0</v>
      </c>
      <c r="BS42" s="464">
        <v>0</v>
      </c>
      <c r="BT42" s="464">
        <v>0</v>
      </c>
      <c r="BU42" s="179" t="s">
        <v>1278</v>
      </c>
      <c r="BV42" s="179" t="s">
        <v>1278</v>
      </c>
      <c r="BW42" s="179" t="s">
        <v>1278</v>
      </c>
      <c r="BX42" s="179" t="s">
        <v>1278</v>
      </c>
      <c r="BY42" s="179" t="s">
        <v>1278</v>
      </c>
      <c r="BZ42" s="179" t="s">
        <v>1393</v>
      </c>
      <c r="CA42" s="179" t="s">
        <v>1278</v>
      </c>
      <c r="CB42" s="179" t="s">
        <v>1278</v>
      </c>
      <c r="CC42" s="179" t="s">
        <v>1278</v>
      </c>
      <c r="CD42" s="179" t="s">
        <v>1278</v>
      </c>
      <c r="CE42" s="179" t="s">
        <v>1278</v>
      </c>
      <c r="CF42" s="179"/>
      <c r="CG42" s="192"/>
      <c r="CH42" s="504">
        <f t="shared" si="9"/>
        <v>-28.700000000000003</v>
      </c>
      <c r="CI42" s="176" t="s">
        <v>1413</v>
      </c>
      <c r="CJ42" s="231">
        <v>0</v>
      </c>
      <c r="CK42" s="231">
        <v>0.7</v>
      </c>
      <c r="CL42" s="231">
        <v>0.71</v>
      </c>
      <c r="CM42" s="231">
        <v>1</v>
      </c>
      <c r="CN42" s="231"/>
      <c r="CO42" s="231"/>
      <c r="CP42" s="232" t="s">
        <v>616</v>
      </c>
      <c r="CQ42" s="223" t="str">
        <f t="shared" si="6"/>
        <v>TÁCTICO</v>
      </c>
      <c r="CR42" s="224">
        <f t="shared" si="7"/>
        <v>7.0499999999999998E-3</v>
      </c>
      <c r="CS42" s="225">
        <f>IFERROR(SUM($BI42:BI42)/SUM($AW42:AW42),0)</f>
        <v>0</v>
      </c>
      <c r="CT42" s="225">
        <f>IFERROR(SUM($BI42:BJ42)/SUM($AW42:AX42),0)</f>
        <v>0</v>
      </c>
      <c r="CU42" s="225">
        <f>IFERROR(SUM($BI42:BK42)/SUM($AW42:AY42),0)</f>
        <v>0</v>
      </c>
      <c r="CV42" s="225">
        <f>IFERROR(SUM($BI42:BL42)/SUM($AW42:AZ42),0)</f>
        <v>0</v>
      </c>
      <c r="CW42" s="225">
        <f>IFERROR(SUM($BI42:BM42)/SUM($AW42:BA42),0)</f>
        <v>0</v>
      </c>
      <c r="CX42" s="225">
        <f>IFERROR(SUM($BI42:BN42)/SUM($AW42:BB42),0)</f>
        <v>1.41E-2</v>
      </c>
      <c r="CY42" s="225">
        <f>IFERROR(SUM($BI42:BO42)/SUM($AW42:BC42),0)</f>
        <v>1.41E-2</v>
      </c>
      <c r="CZ42" s="225">
        <f>IFERROR(SUM($BI42:BP42)/SUM($AW42:BD42),0)</f>
        <v>1.41E-2</v>
      </c>
      <c r="DA42" s="225">
        <f>IFERROR(SUM($BI42:BQ42)/SUM($AW42:BE42),0)</f>
        <v>1.41E-2</v>
      </c>
      <c r="DB42" s="225">
        <f>IFERROR(SUM($BI42:BR42)/SUM($AW42:BF42),0)</f>
        <v>1.41E-2</v>
      </c>
      <c r="DC42" s="225">
        <f>IFERROR(SUM($BI42:BS42)/SUM($AW42:BG42),0)</f>
        <v>1.41E-2</v>
      </c>
      <c r="DD42" s="225">
        <f>IFERROR(SUM($BI42:BT42)/SUM($AW42:BH42),0)</f>
        <v>7.0499999999999998E-3</v>
      </c>
      <c r="DE42" s="254" t="str">
        <f t="shared" si="10"/>
        <v>0</v>
      </c>
      <c r="DF42" s="255" t="str">
        <f>IFERROR(SUM($BI42:BJ42)/SUM($AW42:AX42),"0")</f>
        <v>0</v>
      </c>
      <c r="DG42" s="256" t="str">
        <f>IFERROR(SUM($BI42:BK42)/SUM($AW42:AY42),"0")</f>
        <v>0</v>
      </c>
      <c r="DH42" s="256" t="str">
        <f>IFERROR(SUM($BI42:BL42)/SUM($AW42:AZ42),"0")</f>
        <v>0</v>
      </c>
      <c r="DI42" s="256" t="str">
        <f>IFERROR(SUM($BI42:BM42)/SUM($AW42:BA42),"0")</f>
        <v>0</v>
      </c>
      <c r="DJ42" s="256">
        <f>IFERROR(SUM($BI42:BN42)/SUM($AW42:BB42),"0")</f>
        <v>1.41E-2</v>
      </c>
      <c r="DK42" s="256">
        <f>IFERROR(SUM($BI42:BO42)/SUM($AW42:BC42),"0")</f>
        <v>1.41E-2</v>
      </c>
      <c r="DL42" s="256">
        <f>IFERROR(SUM($BI42:BP42)/SUM($AW42:BD42),"0")</f>
        <v>1.41E-2</v>
      </c>
      <c r="DM42" s="256">
        <f>IFERROR(SUM($BI42:BQ42)/SUM($AW42:BE42),"0")</f>
        <v>1.41E-2</v>
      </c>
      <c r="DN42" s="256">
        <f>IFERROR(SUM($BI42:BR42)/SUM($AW42:BF42),"0")</f>
        <v>1.41E-2</v>
      </c>
      <c r="DO42" s="256">
        <f>IFERROR(SUM($BI42:BS42)/SUM($AW42:BG42),"0")</f>
        <v>1.41E-2</v>
      </c>
      <c r="DP42" s="257">
        <f>IFERROR(SUM($BI42:BT42)/SUM($AW42:BH42),"0")</f>
        <v>7.0499999999999998E-3</v>
      </c>
    </row>
    <row r="43" spans="1:120" ht="39" customHeight="1" x14ac:dyDescent="0.25">
      <c r="A43" s="198" t="s">
        <v>617</v>
      </c>
      <c r="B43" s="161" t="s">
        <v>264</v>
      </c>
      <c r="C43" s="161" t="s">
        <v>618</v>
      </c>
      <c r="D43" s="161" t="s">
        <v>319</v>
      </c>
      <c r="E43" s="162" t="s">
        <v>443</v>
      </c>
      <c r="F43" s="189" t="s">
        <v>619</v>
      </c>
      <c r="G43" s="161" t="s">
        <v>264</v>
      </c>
      <c r="H43" s="176" t="s">
        <v>620</v>
      </c>
      <c r="I43" s="164" t="s">
        <v>357</v>
      </c>
      <c r="J43" s="176" t="s">
        <v>268</v>
      </c>
      <c r="K43" s="161" t="s">
        <v>181</v>
      </c>
      <c r="L43" s="164" t="s">
        <v>448</v>
      </c>
      <c r="M43" s="164"/>
      <c r="N43" s="164"/>
      <c r="O43" s="164"/>
      <c r="P43" s="176" t="s">
        <v>621</v>
      </c>
      <c r="Q43" s="176" t="s">
        <v>622</v>
      </c>
      <c r="R43" s="176" t="s">
        <v>623</v>
      </c>
      <c r="S43" s="176" t="s">
        <v>624</v>
      </c>
      <c r="T43" s="176" t="s">
        <v>625</v>
      </c>
      <c r="U43" s="176" t="s">
        <v>626</v>
      </c>
      <c r="V43" s="176" t="s">
        <v>627</v>
      </c>
      <c r="W43" s="176" t="s">
        <v>627</v>
      </c>
      <c r="X43" s="176" t="s">
        <v>399</v>
      </c>
      <c r="Y43" s="176" t="s">
        <v>628</v>
      </c>
      <c r="Z43" s="166" t="s">
        <v>193</v>
      </c>
      <c r="AA43" s="176" t="s">
        <v>456</v>
      </c>
      <c r="AB43" s="176" t="s">
        <v>217</v>
      </c>
      <c r="AC43" s="176" t="s">
        <v>275</v>
      </c>
      <c r="AD43" s="164" t="s">
        <v>276</v>
      </c>
      <c r="AE43" s="164" t="s">
        <v>629</v>
      </c>
      <c r="AF43" s="164">
        <v>0</v>
      </c>
      <c r="AG43" s="187">
        <v>18</v>
      </c>
      <c r="AH43" s="430">
        <v>18</v>
      </c>
      <c r="AI43" s="305">
        <v>100</v>
      </c>
      <c r="AJ43" s="187">
        <v>18</v>
      </c>
      <c r="AK43" s="187"/>
      <c r="AL43" s="164">
        <v>0</v>
      </c>
      <c r="AM43" s="171">
        <v>8</v>
      </c>
      <c r="AN43" s="431">
        <v>8.6</v>
      </c>
      <c r="AO43" s="432">
        <v>100</v>
      </c>
      <c r="AP43" s="511">
        <v>13.26</v>
      </c>
      <c r="AQ43" s="191">
        <v>0</v>
      </c>
      <c r="AR43" s="221" t="str">
        <f t="shared" ref="AR43:AR74" si="11">IFERROR(AL43/AF43,"0")</f>
        <v>0</v>
      </c>
      <c r="AS43" s="221">
        <f>IFERROR(AG43/AM43,"0")</f>
        <v>2.25</v>
      </c>
      <c r="AT43" s="221">
        <f t="shared" ref="AT43:AT65" si="12">IFERROR(AO43/AI43,"0")</f>
        <v>1</v>
      </c>
      <c r="AU43" s="221">
        <f>IFERROR(AJ43/AP43,"0")</f>
        <v>1.3574660633484164</v>
      </c>
      <c r="AV43" s="221" t="str">
        <f>IFERROR(AK43/AQ43,"0")</f>
        <v>0</v>
      </c>
      <c r="AW43" s="187">
        <v>0</v>
      </c>
      <c r="AX43" s="187">
        <v>0</v>
      </c>
      <c r="AY43" s="187">
        <v>18</v>
      </c>
      <c r="AZ43" s="187">
        <v>0</v>
      </c>
      <c r="BA43" s="187">
        <v>0</v>
      </c>
      <c r="BB43" s="187">
        <v>18</v>
      </c>
      <c r="BC43" s="187">
        <v>0</v>
      </c>
      <c r="BD43" s="187">
        <v>0</v>
      </c>
      <c r="BE43" s="187">
        <v>18</v>
      </c>
      <c r="BF43" s="187">
        <v>0</v>
      </c>
      <c r="BG43" s="187">
        <v>0</v>
      </c>
      <c r="BH43" s="187">
        <v>18</v>
      </c>
      <c r="BI43" s="466">
        <v>0</v>
      </c>
      <c r="BJ43" s="466">
        <v>0</v>
      </c>
      <c r="BK43" s="499">
        <v>12.85</v>
      </c>
      <c r="BL43" s="466">
        <v>0</v>
      </c>
      <c r="BM43" s="466">
        <v>0</v>
      </c>
      <c r="BN43" s="524">
        <v>13.66</v>
      </c>
      <c r="BO43" s="466">
        <v>0</v>
      </c>
      <c r="BP43" s="466">
        <v>0</v>
      </c>
      <c r="BQ43" s="466">
        <v>0</v>
      </c>
      <c r="BR43" s="466">
        <v>0</v>
      </c>
      <c r="BS43" s="466">
        <v>0</v>
      </c>
      <c r="BT43" s="466">
        <v>0</v>
      </c>
      <c r="BU43" s="179" t="s">
        <v>1269</v>
      </c>
      <c r="BV43" s="179" t="s">
        <v>1269</v>
      </c>
      <c r="BW43" s="179" t="s">
        <v>1289</v>
      </c>
      <c r="BX43" s="179" t="s">
        <v>1269</v>
      </c>
      <c r="BY43" s="179" t="s">
        <v>1269</v>
      </c>
      <c r="BZ43" s="179" t="s">
        <v>1394</v>
      </c>
      <c r="CA43" s="179" t="s">
        <v>1269</v>
      </c>
      <c r="CB43" s="179" t="s">
        <v>1269</v>
      </c>
      <c r="CC43" s="179"/>
      <c r="CD43" s="179" t="s">
        <v>1269</v>
      </c>
      <c r="CE43" s="179" t="s">
        <v>1269</v>
      </c>
      <c r="CF43" s="179"/>
      <c r="CG43" s="184"/>
      <c r="CH43" s="504">
        <f t="shared" si="9"/>
        <v>4.74</v>
      </c>
      <c r="CI43" s="176" t="s">
        <v>1417</v>
      </c>
      <c r="CJ43" s="169">
        <v>0</v>
      </c>
      <c r="CK43" s="169">
        <v>59</v>
      </c>
      <c r="CL43" s="169">
        <v>60</v>
      </c>
      <c r="CM43" s="169">
        <v>85</v>
      </c>
      <c r="CN43" s="169">
        <v>86</v>
      </c>
      <c r="CO43" s="169">
        <v>100</v>
      </c>
      <c r="CP43" s="227"/>
      <c r="CQ43" s="223" t="str">
        <f t="shared" si="6"/>
        <v>TÁCTICO</v>
      </c>
      <c r="CR43" s="224">
        <f>IFERROR(SUM(BI43:BT43)/SUM(AW43:BH43),0)</f>
        <v>0.36819444444444444</v>
      </c>
      <c r="CS43" s="225">
        <f>IFERROR(SUM($BI43:BI43)/SUM($AW43:AW43),0)</f>
        <v>0</v>
      </c>
      <c r="CT43" s="225">
        <f>IFERROR(SUM($BI43:BJ43)/SUM($AW43:AX43),0)</f>
        <v>0</v>
      </c>
      <c r="CU43" s="225">
        <f>IFERROR(SUM($BI43:BK43)/SUM($AW43:AY43),0)</f>
        <v>0.71388888888888891</v>
      </c>
      <c r="CV43" s="225">
        <f>IFERROR(SUM($BI43:BL43)/SUM($AW43:AZ43),0)</f>
        <v>0.71388888888888891</v>
      </c>
      <c r="CW43" s="225">
        <f>IFERROR(SUM($BI43:BM43)/SUM($AW43:BA43),0)</f>
        <v>0.71388888888888891</v>
      </c>
      <c r="CX43" s="225">
        <f>IFERROR(SUM($BI43:BN43)/SUM($AW43:BB43),0)</f>
        <v>0.73638888888888887</v>
      </c>
      <c r="CY43" s="225">
        <f>IFERROR(SUM($BI43:BO43)/SUM($AW43:BC43),0)</f>
        <v>0.73638888888888887</v>
      </c>
      <c r="CZ43" s="225">
        <f>IFERROR(SUM($BI43:BP43)/SUM($AW43:BD43),0)</f>
        <v>0.73638888888888887</v>
      </c>
      <c r="DA43" s="225">
        <f>IFERROR(SUM($BI43:BQ43)/SUM($AW43:BE43),0)</f>
        <v>0.49092592592592588</v>
      </c>
      <c r="DB43" s="225">
        <f>IFERROR(SUM($BI43:BR43)/SUM($AW43:BF43),0)</f>
        <v>0.49092592592592588</v>
      </c>
      <c r="DC43" s="225">
        <f>IFERROR(SUM($BI43:BS43)/SUM($AW43:BG43),0)</f>
        <v>0.49092592592592588</v>
      </c>
      <c r="DD43" s="225">
        <f>IFERROR(SUM($BI43:BT43)/SUM($AW43:BH43),0)</f>
        <v>0.36819444444444444</v>
      </c>
      <c r="DE43" s="254" t="str">
        <f>IFERROR(SUM(BI43)/SUM(AW43),"0")</f>
        <v>0</v>
      </c>
      <c r="DF43" s="255" t="str">
        <f>IFERROR(SUM($BI43:BJ43)/SUM($AW43:AX43),"0")</f>
        <v>0</v>
      </c>
      <c r="DG43" s="256">
        <f>IFERROR(SUM($BI43:BK43)/SUM($AW43:AY43),"0")</f>
        <v>0.71388888888888891</v>
      </c>
      <c r="DH43" s="256">
        <f>IFERROR(SUM($BI43:BL43)/SUM($AW43:AZ43),"0")</f>
        <v>0.71388888888888891</v>
      </c>
      <c r="DI43" s="256">
        <f>IFERROR(SUM($BI43:BM43)/SUM($AW43:BA43),"0")</f>
        <v>0.71388888888888891</v>
      </c>
      <c r="DJ43" s="256">
        <f>IFERROR(SUM($BI43:BN43)/SUM($AW43:BB43),"0")</f>
        <v>0.73638888888888887</v>
      </c>
      <c r="DK43" s="256">
        <f>IFERROR(SUM($BI43:BO43)/SUM($AW43:BC43),"0")</f>
        <v>0.73638888888888887</v>
      </c>
      <c r="DL43" s="256">
        <f>IFERROR(SUM($BI43:BP43)/SUM($AW43:BD43),"0")</f>
        <v>0.73638888888888887</v>
      </c>
      <c r="DM43" s="256">
        <f>IFERROR(SUM($BI43:BQ43)/SUM($AW43:BE43),"0")</f>
        <v>0.49092592592592588</v>
      </c>
      <c r="DN43" s="256">
        <f>IFERROR(SUM($BI43:BR43)/SUM($AW43:BF43),"0")</f>
        <v>0.49092592592592588</v>
      </c>
      <c r="DO43" s="256">
        <f>IFERROR(SUM($BI43:BS43)/SUM($AW43:BG43),"0")</f>
        <v>0.49092592592592588</v>
      </c>
      <c r="DP43" s="257">
        <f>IFERROR(SUM($BI43:BT43)/SUM($AW43:BH43),"0")</f>
        <v>0.36819444444444444</v>
      </c>
    </row>
    <row r="44" spans="1:120" ht="39" customHeight="1" x14ac:dyDescent="0.25">
      <c r="A44" s="198" t="s">
        <v>630</v>
      </c>
      <c r="B44" s="161" t="s">
        <v>264</v>
      </c>
      <c r="C44" s="161" t="s">
        <v>631</v>
      </c>
      <c r="D44" s="161" t="s">
        <v>319</v>
      </c>
      <c r="E44" s="162" t="s">
        <v>443</v>
      </c>
      <c r="F44" s="189" t="s">
        <v>1246</v>
      </c>
      <c r="G44" s="161" t="s">
        <v>264</v>
      </c>
      <c r="H44" s="176" t="s">
        <v>633</v>
      </c>
      <c r="I44" s="166" t="s">
        <v>357</v>
      </c>
      <c r="J44" s="176" t="s">
        <v>268</v>
      </c>
      <c r="K44" s="176" t="s">
        <v>181</v>
      </c>
      <c r="L44" s="164" t="s">
        <v>448</v>
      </c>
      <c r="M44" s="176"/>
      <c r="N44" s="176"/>
      <c r="O44" s="176"/>
      <c r="P44" s="176" t="s">
        <v>634</v>
      </c>
      <c r="Q44" s="176" t="s">
        <v>635</v>
      </c>
      <c r="R44" s="176" t="s">
        <v>636</v>
      </c>
      <c r="S44" s="176" t="s">
        <v>637</v>
      </c>
      <c r="T44" s="176" t="s">
        <v>638</v>
      </c>
      <c r="U44" s="176" t="s">
        <v>639</v>
      </c>
      <c r="V44" s="176" t="s">
        <v>640</v>
      </c>
      <c r="W44" s="176" t="s">
        <v>640</v>
      </c>
      <c r="X44" s="176" t="s">
        <v>399</v>
      </c>
      <c r="Y44" s="176" t="s">
        <v>399</v>
      </c>
      <c r="Z44" s="176" t="s">
        <v>193</v>
      </c>
      <c r="AA44" s="166" t="s">
        <v>456</v>
      </c>
      <c r="AB44" s="176" t="s">
        <v>195</v>
      </c>
      <c r="AC44" s="176" t="s">
        <v>288</v>
      </c>
      <c r="AD44" s="164" t="s">
        <v>276</v>
      </c>
      <c r="AE44" s="176" t="s">
        <v>277</v>
      </c>
      <c r="AF44" s="164">
        <v>0</v>
      </c>
      <c r="AG44" s="191">
        <v>10</v>
      </c>
      <c r="AH44" s="428">
        <v>10</v>
      </c>
      <c r="AI44" s="305">
        <v>100</v>
      </c>
      <c r="AJ44" s="191">
        <v>10</v>
      </c>
      <c r="AK44" s="191">
        <v>10</v>
      </c>
      <c r="AL44" s="164">
        <v>0</v>
      </c>
      <c r="AM44" s="171">
        <v>8.5</v>
      </c>
      <c r="AN44" s="431">
        <v>11.7</v>
      </c>
      <c r="AO44" s="434">
        <f>100-17</f>
        <v>83</v>
      </c>
      <c r="AP44" s="511">
        <v>3.65</v>
      </c>
      <c r="AQ44" s="191">
        <v>0</v>
      </c>
      <c r="AR44" s="221" t="str">
        <f t="shared" si="11"/>
        <v>0</v>
      </c>
      <c r="AS44" s="221">
        <f>IFERROR(AG44/AM44,"0")</f>
        <v>1.1764705882352942</v>
      </c>
      <c r="AT44" s="221">
        <f t="shared" si="12"/>
        <v>0.83</v>
      </c>
      <c r="AU44" s="221">
        <f>IFERROR(AJ44/AP44,"0")</f>
        <v>2.7397260273972601</v>
      </c>
      <c r="AV44" s="221" t="str">
        <f>IFERROR(AK44/AQ44,"0")</f>
        <v>0</v>
      </c>
      <c r="AW44" s="187">
        <v>0</v>
      </c>
      <c r="AX44" s="187">
        <v>0</v>
      </c>
      <c r="AY44" s="191">
        <v>10</v>
      </c>
      <c r="AZ44" s="187">
        <v>0</v>
      </c>
      <c r="BA44" s="187">
        <v>0</v>
      </c>
      <c r="BB44" s="191">
        <v>10</v>
      </c>
      <c r="BC44" s="187">
        <v>0</v>
      </c>
      <c r="BD44" s="187">
        <v>0</v>
      </c>
      <c r="BE44" s="191">
        <v>10</v>
      </c>
      <c r="BF44" s="187">
        <v>0</v>
      </c>
      <c r="BG44" s="187">
        <v>0</v>
      </c>
      <c r="BH44" s="191">
        <v>10</v>
      </c>
      <c r="BI44" s="466">
        <v>0</v>
      </c>
      <c r="BJ44" s="466">
        <v>0</v>
      </c>
      <c r="BK44" s="524">
        <v>2.41</v>
      </c>
      <c r="BL44" s="466">
        <v>0</v>
      </c>
      <c r="BM44" s="466">
        <v>0</v>
      </c>
      <c r="BN44" s="524">
        <v>4.8899999999999997</v>
      </c>
      <c r="BO44" s="466">
        <v>0</v>
      </c>
      <c r="BP44" s="466">
        <v>0</v>
      </c>
      <c r="BQ44" s="466">
        <v>0</v>
      </c>
      <c r="BR44" s="466">
        <v>0</v>
      </c>
      <c r="BS44" s="466">
        <v>0</v>
      </c>
      <c r="BT44" s="466">
        <v>0</v>
      </c>
      <c r="BU44" s="179" t="s">
        <v>1269</v>
      </c>
      <c r="BV44" s="179" t="s">
        <v>1269</v>
      </c>
      <c r="BW44" s="179" t="s">
        <v>1290</v>
      </c>
      <c r="BX44" s="179" t="s">
        <v>1269</v>
      </c>
      <c r="BY44" s="179" t="s">
        <v>1269</v>
      </c>
      <c r="BZ44" s="179" t="s">
        <v>1395</v>
      </c>
      <c r="CA44" s="179" t="s">
        <v>1269</v>
      </c>
      <c r="CB44" s="179" t="s">
        <v>1269</v>
      </c>
      <c r="CC44" s="179"/>
      <c r="CD44" s="179" t="s">
        <v>1269</v>
      </c>
      <c r="CE44" s="179" t="s">
        <v>1269</v>
      </c>
      <c r="CF44" s="179"/>
      <c r="CG44" s="192"/>
      <c r="CH44" s="504">
        <f t="shared" si="9"/>
        <v>6.35</v>
      </c>
      <c r="CI44" s="176" t="s">
        <v>1413</v>
      </c>
      <c r="CJ44" s="176"/>
      <c r="CK44" s="176"/>
      <c r="CL44" s="176"/>
      <c r="CM44" s="176"/>
      <c r="CN44" s="176"/>
      <c r="CO44" s="176"/>
      <c r="CP44" s="227"/>
      <c r="CQ44" s="223" t="str">
        <f t="shared" si="6"/>
        <v>TÁCTICO</v>
      </c>
      <c r="CR44" s="224">
        <f>IFERROR(SUM(BI44:BT44)/SUM(AW44:BH44),0)</f>
        <v>0.1825</v>
      </c>
      <c r="CS44" s="225">
        <f>IFERROR(SUM($BI44:BI44)/SUM($AW44:AW44),0)</f>
        <v>0</v>
      </c>
      <c r="CT44" s="225">
        <f>IFERROR(SUM($BI44:BJ44)/SUM($AW44:AX44),0)</f>
        <v>0</v>
      </c>
      <c r="CU44" s="225">
        <f>IFERROR(SUM($BI44:BK44)/SUM($AW44:AY44),0)</f>
        <v>0.24100000000000002</v>
      </c>
      <c r="CV44" s="225">
        <f>IFERROR(SUM($BI44:BL44)/SUM($AW44:AZ44),0)</f>
        <v>0.24100000000000002</v>
      </c>
      <c r="CW44" s="225">
        <f>IFERROR(SUM($BI44:BM44)/SUM($AW44:BA44),0)</f>
        <v>0.24100000000000002</v>
      </c>
      <c r="CX44" s="225">
        <f>IFERROR(SUM($BI44:BN44)/SUM($AW44:BB44),0)</f>
        <v>0.36499999999999999</v>
      </c>
      <c r="CY44" s="225">
        <f>IFERROR(SUM($BI44:BO44)/SUM($AW44:BC44),0)</f>
        <v>0.36499999999999999</v>
      </c>
      <c r="CZ44" s="225">
        <f>IFERROR(SUM($BI44:BP44)/SUM($AW44:BD44),0)</f>
        <v>0.36499999999999999</v>
      </c>
      <c r="DA44" s="225">
        <f>IFERROR(SUM($BI44:BQ44)/SUM($AW44:BE44),0)</f>
        <v>0.24333333333333332</v>
      </c>
      <c r="DB44" s="225">
        <f>IFERROR(SUM($BI44:BR44)/SUM($AW44:BF44),0)</f>
        <v>0.24333333333333332</v>
      </c>
      <c r="DC44" s="225">
        <f>IFERROR(SUM($BI44:BS44)/SUM($AW44:BG44),0)</f>
        <v>0.24333333333333332</v>
      </c>
      <c r="DD44" s="225">
        <f>IFERROR(SUM($BI44:BT44)/SUM($AW44:BH44),0)</f>
        <v>0.1825</v>
      </c>
      <c r="DE44" s="250" t="str">
        <f>IFERROR(SUM(BI44)/SUM(AW44),"0")</f>
        <v>0</v>
      </c>
      <c r="DF44" s="251" t="str">
        <f>IFERROR(SUM($BI44:BJ44)/SUM($AW44:AX44),"0")</f>
        <v>0</v>
      </c>
      <c r="DG44" s="252">
        <f>IFERROR(SUM($BI44:BK44)/SUM($AW44:AY44),"0")</f>
        <v>0.24100000000000002</v>
      </c>
      <c r="DH44" s="252">
        <f>IFERROR(SUM($BI44:BL44)/SUM($AW44:AZ44),"0")</f>
        <v>0.24100000000000002</v>
      </c>
      <c r="DI44" s="252">
        <f>IFERROR(SUM($BI44:BM44)/SUM($AW44:BA44),"0")</f>
        <v>0.24100000000000002</v>
      </c>
      <c r="DJ44" s="252">
        <f>IFERROR(SUM($BI44:BN44)/SUM($AW44:BB44),"0")</f>
        <v>0.36499999999999999</v>
      </c>
      <c r="DK44" s="252">
        <f>IFERROR(SUM($BI44:BO44)/SUM($AW44:BC44),"0")</f>
        <v>0.36499999999999999</v>
      </c>
      <c r="DL44" s="252">
        <f>IFERROR(SUM($BI44:BP44)/SUM($AW44:BD44),"0")</f>
        <v>0.36499999999999999</v>
      </c>
      <c r="DM44" s="252">
        <f>IFERROR(SUM($BI44:BQ44)/SUM($AW44:BE44),"0")</f>
        <v>0.24333333333333332</v>
      </c>
      <c r="DN44" s="252">
        <f>IFERROR(SUM($BI44:BR44)/SUM($AW44:BF44),"0")</f>
        <v>0.24333333333333332</v>
      </c>
      <c r="DO44" s="252">
        <f>IFERROR(SUM($BI44:BS44)/SUM($AW44:BG44),"0")</f>
        <v>0.24333333333333332</v>
      </c>
      <c r="DP44" s="253">
        <f>IFERROR(SUM($BI44:BT44)/SUM($AW44:BH44),"0")</f>
        <v>0.1825</v>
      </c>
    </row>
    <row r="45" spans="1:120" ht="39" customHeight="1" x14ac:dyDescent="0.25">
      <c r="A45" s="198" t="s">
        <v>641</v>
      </c>
      <c r="B45" s="161" t="s">
        <v>264</v>
      </c>
      <c r="C45" s="161" t="s">
        <v>642</v>
      </c>
      <c r="D45" s="161" t="s">
        <v>470</v>
      </c>
      <c r="E45" s="162" t="s">
        <v>443</v>
      </c>
      <c r="F45" s="189" t="s">
        <v>643</v>
      </c>
      <c r="G45" s="161" t="s">
        <v>264</v>
      </c>
      <c r="H45" s="176" t="s">
        <v>644</v>
      </c>
      <c r="I45" s="166" t="s">
        <v>357</v>
      </c>
      <c r="J45" s="176" t="s">
        <v>268</v>
      </c>
      <c r="K45" s="176" t="s">
        <v>181</v>
      </c>
      <c r="L45" s="164" t="s">
        <v>448</v>
      </c>
      <c r="M45" s="176"/>
      <c r="N45" s="176"/>
      <c r="O45" s="176"/>
      <c r="P45" s="176" t="s">
        <v>645</v>
      </c>
      <c r="Q45" s="176" t="s">
        <v>646</v>
      </c>
      <c r="R45" s="176" t="s">
        <v>647</v>
      </c>
      <c r="S45" s="176" t="s">
        <v>648</v>
      </c>
      <c r="T45" s="176" t="s">
        <v>649</v>
      </c>
      <c r="U45" s="176" t="s">
        <v>650</v>
      </c>
      <c r="V45" s="176" t="s">
        <v>651</v>
      </c>
      <c r="W45" s="176" t="s">
        <v>651</v>
      </c>
      <c r="X45" s="176" t="s">
        <v>399</v>
      </c>
      <c r="Y45" s="176" t="s">
        <v>399</v>
      </c>
      <c r="Z45" s="176" t="s">
        <v>193</v>
      </c>
      <c r="AA45" s="166" t="s">
        <v>456</v>
      </c>
      <c r="AB45" s="176" t="s">
        <v>195</v>
      </c>
      <c r="AC45" s="176" t="s">
        <v>288</v>
      </c>
      <c r="AD45" s="164" t="s">
        <v>276</v>
      </c>
      <c r="AE45" s="176" t="s">
        <v>277</v>
      </c>
      <c r="AF45" s="164">
        <v>0</v>
      </c>
      <c r="AG45" s="191">
        <v>100</v>
      </c>
      <c r="AH45" s="428">
        <v>100</v>
      </c>
      <c r="AI45" s="305">
        <v>100</v>
      </c>
      <c r="AJ45" s="191">
        <v>100</v>
      </c>
      <c r="AK45" s="191">
        <v>100</v>
      </c>
      <c r="AL45" s="164">
        <v>0</v>
      </c>
      <c r="AM45" s="191">
        <v>100</v>
      </c>
      <c r="AN45" s="428">
        <v>100</v>
      </c>
      <c r="AO45" s="432">
        <v>100</v>
      </c>
      <c r="AP45" s="512">
        <v>100</v>
      </c>
      <c r="AQ45" s="191">
        <v>0</v>
      </c>
      <c r="AR45" s="221" t="str">
        <f t="shared" si="11"/>
        <v>0</v>
      </c>
      <c r="AS45" s="221">
        <f t="shared" ref="AS45:AS76" si="13">IFERROR(AM45/AG45,"0")</f>
        <v>1</v>
      </c>
      <c r="AT45" s="221">
        <f t="shared" si="12"/>
        <v>1</v>
      </c>
      <c r="AU45" s="221">
        <f t="shared" ref="AU45:AU76" si="14">IFERROR(AP45/AJ45,"0")</f>
        <v>1</v>
      </c>
      <c r="AV45" s="221">
        <f t="shared" ref="AV45:AV76" si="15">IFERROR(AQ45/AK45,"0")</f>
        <v>0</v>
      </c>
      <c r="AW45" s="187">
        <v>0</v>
      </c>
      <c r="AX45" s="187">
        <v>0</v>
      </c>
      <c r="AY45" s="473">
        <v>1</v>
      </c>
      <c r="AZ45" s="187">
        <v>0</v>
      </c>
      <c r="BA45" s="187">
        <v>0</v>
      </c>
      <c r="BB45" s="473">
        <v>1</v>
      </c>
      <c r="BC45" s="187">
        <v>0</v>
      </c>
      <c r="BD45" s="187">
        <v>0</v>
      </c>
      <c r="BE45" s="473">
        <v>1</v>
      </c>
      <c r="BF45" s="187">
        <v>0</v>
      </c>
      <c r="BG45" s="187">
        <v>0</v>
      </c>
      <c r="BH45" s="473">
        <v>1</v>
      </c>
      <c r="BI45" s="465">
        <v>0</v>
      </c>
      <c r="BJ45" s="465">
        <v>0</v>
      </c>
      <c r="BK45" s="465">
        <v>1</v>
      </c>
      <c r="BL45" s="465">
        <v>0</v>
      </c>
      <c r="BM45" s="465">
        <v>0</v>
      </c>
      <c r="BN45" s="510">
        <v>1</v>
      </c>
      <c r="BO45" s="465">
        <v>0</v>
      </c>
      <c r="BP45" s="465">
        <v>0</v>
      </c>
      <c r="BQ45" s="465">
        <v>0</v>
      </c>
      <c r="BR45" s="465">
        <v>0</v>
      </c>
      <c r="BS45" s="465">
        <v>0</v>
      </c>
      <c r="BT45" s="465">
        <v>0</v>
      </c>
      <c r="BU45" s="179" t="s">
        <v>1269</v>
      </c>
      <c r="BV45" s="179" t="s">
        <v>1269</v>
      </c>
      <c r="BW45" s="179" t="s">
        <v>1291</v>
      </c>
      <c r="BX45" s="179" t="s">
        <v>1269</v>
      </c>
      <c r="BY45" s="179" t="s">
        <v>1269</v>
      </c>
      <c r="BZ45" s="179" t="s">
        <v>1396</v>
      </c>
      <c r="CA45" s="179" t="s">
        <v>1269</v>
      </c>
      <c r="CB45" s="179" t="s">
        <v>1269</v>
      </c>
      <c r="CC45" s="179"/>
      <c r="CD45" s="179" t="s">
        <v>1269</v>
      </c>
      <c r="CE45" s="179" t="s">
        <v>1269</v>
      </c>
      <c r="CF45" s="179"/>
      <c r="CG45" s="192"/>
      <c r="CH45" s="504">
        <f t="shared" si="9"/>
        <v>0</v>
      </c>
      <c r="CI45" s="176" t="s">
        <v>1413</v>
      </c>
      <c r="CJ45" s="176"/>
      <c r="CK45" s="176"/>
      <c r="CL45" s="176"/>
      <c r="CM45" s="176"/>
      <c r="CN45" s="176"/>
      <c r="CO45" s="176"/>
      <c r="CP45" s="227"/>
      <c r="CQ45" s="223" t="str">
        <f t="shared" si="6"/>
        <v>OPERATIVO</v>
      </c>
      <c r="CR45" s="224">
        <f t="shared" si="7"/>
        <v>0.5</v>
      </c>
      <c r="CS45" s="225">
        <f>IFERROR(SUM($BI45:BI45)/SUM($AW45:AW45),0)</f>
        <v>0</v>
      </c>
      <c r="CT45" s="225">
        <f>IFERROR(SUM($BI45:BJ45)/SUM($AW45:AX45),0)</f>
        <v>0</v>
      </c>
      <c r="CU45" s="225">
        <f>IFERROR(SUM($BI45:BK45)/SUM($AW45:AY45),0)</f>
        <v>1</v>
      </c>
      <c r="CV45" s="225">
        <f>IFERROR(SUM($BI45:BL45)/SUM($AW45:AZ45),0)</f>
        <v>1</v>
      </c>
      <c r="CW45" s="225">
        <f>IFERROR(SUM($BI45:BM45)/SUM($AW45:BA45),0)</f>
        <v>1</v>
      </c>
      <c r="CX45" s="225">
        <f>IFERROR(SUM($BI45:BN45)/SUM($AW45:BB45),0)</f>
        <v>1</v>
      </c>
      <c r="CY45" s="225">
        <f>IFERROR(SUM($BI45:BO45)/SUM($AW45:BC45),0)</f>
        <v>1</v>
      </c>
      <c r="CZ45" s="225">
        <f>IFERROR(SUM($BI45:BP45)/SUM($AW45:BD45),0)</f>
        <v>1</v>
      </c>
      <c r="DA45" s="225">
        <f>IFERROR(SUM($BI45:BQ45)/SUM($AW45:BE45),0)</f>
        <v>0.66666666666666663</v>
      </c>
      <c r="DB45" s="225">
        <f>IFERROR(SUM($BI45:BR45)/SUM($AW45:BF45),0)</f>
        <v>0.66666666666666663</v>
      </c>
      <c r="DC45" s="225">
        <f>IFERROR(SUM($BI45:BS45)/SUM($AW45:BG45),0)</f>
        <v>0.66666666666666663</v>
      </c>
      <c r="DD45" s="225">
        <f>IFERROR(SUM($BI45:BT45)/SUM($AW45:BH45),0)</f>
        <v>0.5</v>
      </c>
      <c r="DE45" s="254" t="str">
        <f t="shared" si="10"/>
        <v>0</v>
      </c>
      <c r="DF45" s="255" t="str">
        <f>IFERROR(SUM($BI45:BJ45)/SUM($AW45:AX45),"0")</f>
        <v>0</v>
      </c>
      <c r="DG45" s="256">
        <f>IFERROR(SUM($BI45:BK45)/SUM($AW45:AY45),"0")</f>
        <v>1</v>
      </c>
      <c r="DH45" s="256">
        <f>IFERROR(SUM($BI45:BL45)/SUM($AW45:AZ45),"0")</f>
        <v>1</v>
      </c>
      <c r="DI45" s="256">
        <f>IFERROR(SUM($BI45:BM45)/SUM($AW45:BA45),"0")</f>
        <v>1</v>
      </c>
      <c r="DJ45" s="256">
        <f>IFERROR(SUM($BI45:BN45)/SUM($AW45:BB45),"0")</f>
        <v>1</v>
      </c>
      <c r="DK45" s="256">
        <f>IFERROR(SUM($BI45:BO45)/SUM($AW45:BC45),"0")</f>
        <v>1</v>
      </c>
      <c r="DL45" s="256">
        <f>IFERROR(SUM($BI45:BP45)/SUM($AW45:BD45),"0")</f>
        <v>1</v>
      </c>
      <c r="DM45" s="256">
        <f>IFERROR(SUM($BI45:BQ45)/SUM($AW45:BE45),"0")</f>
        <v>0.66666666666666663</v>
      </c>
      <c r="DN45" s="256">
        <f>IFERROR(SUM($BI45:BR45)/SUM($AW45:BF45),"0")</f>
        <v>0.66666666666666663</v>
      </c>
      <c r="DO45" s="256">
        <f>IFERROR(SUM($BI45:BS45)/SUM($AW45:BG45),"0")</f>
        <v>0.66666666666666663</v>
      </c>
      <c r="DP45" s="257">
        <f>IFERROR(SUM($BI45:BT45)/SUM($AW45:BH45),"0")</f>
        <v>0.5</v>
      </c>
    </row>
    <row r="46" spans="1:120" ht="39" customHeight="1" x14ac:dyDescent="0.25">
      <c r="A46" s="381" t="s">
        <v>1147</v>
      </c>
      <c r="B46" s="161" t="s">
        <v>201</v>
      </c>
      <c r="C46" s="176" t="s">
        <v>1149</v>
      </c>
      <c r="D46" s="161" t="s">
        <v>470</v>
      </c>
      <c r="E46" s="162" t="s">
        <v>443</v>
      </c>
      <c r="F46" s="163" t="s">
        <v>1148</v>
      </c>
      <c r="G46" s="161" t="s">
        <v>201</v>
      </c>
      <c r="H46" s="164" t="s">
        <v>1150</v>
      </c>
      <c r="I46" s="164" t="s">
        <v>180</v>
      </c>
      <c r="J46" s="164" t="s">
        <v>205</v>
      </c>
      <c r="K46" s="161" t="s">
        <v>181</v>
      </c>
      <c r="L46" s="164" t="s">
        <v>448</v>
      </c>
      <c r="M46" s="164"/>
      <c r="N46" s="164"/>
      <c r="O46" s="164"/>
      <c r="P46" s="164" t="s">
        <v>1151</v>
      </c>
      <c r="Q46" s="164" t="s">
        <v>1152</v>
      </c>
      <c r="R46" s="164" t="s">
        <v>1153</v>
      </c>
      <c r="S46" s="164" t="s">
        <v>233</v>
      </c>
      <c r="T46" s="164" t="s">
        <v>1154</v>
      </c>
      <c r="U46" s="164" t="s">
        <v>233</v>
      </c>
      <c r="V46" s="164" t="s">
        <v>1155</v>
      </c>
      <c r="W46" s="164" t="s">
        <v>233</v>
      </c>
      <c r="X46" s="176">
        <v>8</v>
      </c>
      <c r="Y46" s="176" t="s">
        <v>1156</v>
      </c>
      <c r="Z46" s="166" t="s">
        <v>193</v>
      </c>
      <c r="AA46" s="164" t="s">
        <v>456</v>
      </c>
      <c r="AB46" s="176" t="s">
        <v>217</v>
      </c>
      <c r="AC46" s="164" t="s">
        <v>661</v>
      </c>
      <c r="AD46" s="164" t="s">
        <v>661</v>
      </c>
      <c r="AE46" s="164" t="s">
        <v>220</v>
      </c>
      <c r="AF46" s="164">
        <v>0</v>
      </c>
      <c r="AG46" s="167">
        <v>0</v>
      </c>
      <c r="AH46" s="436">
        <v>0</v>
      </c>
      <c r="AI46" s="305">
        <v>0</v>
      </c>
      <c r="AJ46" s="187">
        <v>7</v>
      </c>
      <c r="AK46" s="187">
        <v>0</v>
      </c>
      <c r="AL46" s="164">
        <v>0</v>
      </c>
      <c r="AM46" s="171">
        <v>0</v>
      </c>
      <c r="AN46" s="440">
        <v>0</v>
      </c>
      <c r="AO46" s="449">
        <v>0</v>
      </c>
      <c r="AP46" s="512">
        <v>5</v>
      </c>
      <c r="AQ46" s="191">
        <v>0</v>
      </c>
      <c r="AR46" s="123" t="str">
        <f t="shared" si="11"/>
        <v>0</v>
      </c>
      <c r="AS46" s="123" t="str">
        <f t="shared" si="13"/>
        <v>0</v>
      </c>
      <c r="AT46" s="123" t="str">
        <f t="shared" si="12"/>
        <v>0</v>
      </c>
      <c r="AU46" s="123">
        <f t="shared" si="14"/>
        <v>0.7142857142857143</v>
      </c>
      <c r="AV46" s="123" t="str">
        <f t="shared" si="15"/>
        <v>0</v>
      </c>
      <c r="AW46" s="187">
        <v>0</v>
      </c>
      <c r="AX46" s="187">
        <v>0</v>
      </c>
      <c r="AY46" s="187">
        <v>7</v>
      </c>
      <c r="AZ46" s="187">
        <v>0</v>
      </c>
      <c r="BA46" s="187">
        <v>0</v>
      </c>
      <c r="BB46" s="187">
        <v>7</v>
      </c>
      <c r="BC46" s="187">
        <v>0</v>
      </c>
      <c r="BD46" s="187">
        <v>0</v>
      </c>
      <c r="BE46" s="187">
        <v>7</v>
      </c>
      <c r="BF46" s="187">
        <v>0</v>
      </c>
      <c r="BG46" s="187">
        <v>0</v>
      </c>
      <c r="BH46" s="187">
        <v>7</v>
      </c>
      <c r="BI46" s="466">
        <v>0</v>
      </c>
      <c r="BJ46" s="466">
        <v>0</v>
      </c>
      <c r="BK46" s="498">
        <v>3.5</v>
      </c>
      <c r="BL46" s="466">
        <v>0</v>
      </c>
      <c r="BM46" s="466">
        <v>0</v>
      </c>
      <c r="BN46" s="525">
        <v>6.4</v>
      </c>
      <c r="BO46" s="466">
        <v>0</v>
      </c>
      <c r="BP46" s="466">
        <v>0</v>
      </c>
      <c r="BQ46" s="466">
        <v>0</v>
      </c>
      <c r="BR46" s="466">
        <v>0</v>
      </c>
      <c r="BS46" s="466">
        <v>0</v>
      </c>
      <c r="BT46" s="466">
        <v>0</v>
      </c>
      <c r="BU46" s="179" t="s">
        <v>1269</v>
      </c>
      <c r="BV46" s="179" t="s">
        <v>1269</v>
      </c>
      <c r="BW46" s="179" t="s">
        <v>1292</v>
      </c>
      <c r="BX46" s="179" t="s">
        <v>1269</v>
      </c>
      <c r="BY46" s="179" t="s">
        <v>1269</v>
      </c>
      <c r="BZ46" s="179" t="s">
        <v>1397</v>
      </c>
      <c r="CA46" s="179" t="s">
        <v>1269</v>
      </c>
      <c r="CB46" s="179" t="s">
        <v>1269</v>
      </c>
      <c r="CC46" s="179"/>
      <c r="CD46" s="179" t="s">
        <v>1269</v>
      </c>
      <c r="CE46" s="179" t="s">
        <v>1269</v>
      </c>
      <c r="CF46" s="179"/>
      <c r="CG46" s="90"/>
      <c r="CH46" s="504">
        <f t="shared" si="9"/>
        <v>2</v>
      </c>
      <c r="CI46" s="74" t="s">
        <v>1413</v>
      </c>
      <c r="CJ46" s="194">
        <v>3</v>
      </c>
      <c r="CK46" s="194">
        <v>4</v>
      </c>
      <c r="CL46" s="194">
        <v>5</v>
      </c>
      <c r="CM46" s="194">
        <v>6</v>
      </c>
      <c r="CN46" s="194">
        <v>7</v>
      </c>
      <c r="CO46" s="194">
        <v>8</v>
      </c>
      <c r="CP46" s="213"/>
      <c r="CQ46" s="208" t="str">
        <f t="shared" si="6"/>
        <v>OPERATIVO</v>
      </c>
      <c r="CR46" s="215">
        <f t="shared" si="7"/>
        <v>0.35357142857142859</v>
      </c>
      <c r="CS46" s="216">
        <f>IFERROR(SUM($BI46:BI46)/SUM($AW46:AW46),0)</f>
        <v>0</v>
      </c>
      <c r="CT46" s="216">
        <f>IFERROR(SUM($BI46:BJ46)/SUM($AW46:AX46),0)</f>
        <v>0</v>
      </c>
      <c r="CU46" s="216">
        <f>IFERROR(SUM($BI46:BK46)/SUM($AW46:AY46),0)</f>
        <v>0.5</v>
      </c>
      <c r="CV46" s="216">
        <f>IFERROR(SUM($BI46:BL46)/SUM($AW46:AZ46),0)</f>
        <v>0.5</v>
      </c>
      <c r="CW46" s="216">
        <f>IFERROR(SUM($BI46:BM46)/SUM($AW46:BA46),0)</f>
        <v>0.5</v>
      </c>
      <c r="CX46" s="216">
        <f>IFERROR(SUM($BI46:BN46)/SUM($AW46:BB46),0)</f>
        <v>0.70714285714285718</v>
      </c>
      <c r="CY46" s="216">
        <f>IFERROR(SUM($BI46:BO46)/SUM($AW46:BC46),0)</f>
        <v>0.70714285714285718</v>
      </c>
      <c r="CZ46" s="216">
        <f>IFERROR(SUM($BI46:BP46)/SUM($AW46:BD46),0)</f>
        <v>0.70714285714285718</v>
      </c>
      <c r="DA46" s="216">
        <f>IFERROR(SUM($BI46:BQ46)/SUM($AW46:BE46),0)</f>
        <v>0.47142857142857142</v>
      </c>
      <c r="DB46" s="216">
        <f>IFERROR(SUM($BI46:BR46)/SUM($AW46:BF46),0)</f>
        <v>0.47142857142857142</v>
      </c>
      <c r="DC46" s="216">
        <f>IFERROR(SUM($BI46:BS46)/SUM($AW46:BG46),0)</f>
        <v>0.47142857142857142</v>
      </c>
      <c r="DD46" s="216">
        <f>IFERROR(SUM($BI46:BT46)/SUM($AW46:BH46),0)</f>
        <v>0.35357142857142859</v>
      </c>
      <c r="DE46" s="254" t="str">
        <f t="shared" si="10"/>
        <v>0</v>
      </c>
      <c r="DF46" s="255" t="str">
        <f>IFERROR(SUM($BI46:BJ46)/SUM($AW46:AX46),"0")</f>
        <v>0</v>
      </c>
      <c r="DG46" s="256">
        <f>IFERROR(SUM($BI46:BK46)/SUM($AW46:AY46),"0")</f>
        <v>0.5</v>
      </c>
      <c r="DH46" s="256">
        <f>IFERROR(SUM($BI46:BL46)/SUM($AW46:AZ46),"0")</f>
        <v>0.5</v>
      </c>
      <c r="DI46" s="256">
        <f>IFERROR(SUM($BI46:BM46)/SUM($AW46:BA46),"0")</f>
        <v>0.5</v>
      </c>
      <c r="DJ46" s="256">
        <f>IFERROR(SUM($BI46:BN46)/SUM($AW46:BB46),"0")</f>
        <v>0.70714285714285718</v>
      </c>
      <c r="DK46" s="256">
        <f>IFERROR(SUM($BI46:BO46)/SUM($AW46:BC46),"0")</f>
        <v>0.70714285714285718</v>
      </c>
      <c r="DL46" s="256">
        <f>IFERROR(SUM($BI46:BP46)/SUM($AW46:BD46),"0")</f>
        <v>0.70714285714285718</v>
      </c>
      <c r="DM46" s="256">
        <f>IFERROR(SUM($BI46:BQ46)/SUM($AW46:BE46),"0")</f>
        <v>0.47142857142857142</v>
      </c>
      <c r="DN46" s="256">
        <f>IFERROR(SUM($BI46:BR46)/SUM($AW46:BF46),"0")</f>
        <v>0.47142857142857142</v>
      </c>
      <c r="DO46" s="256">
        <f>IFERROR(SUM($BI46:BS46)/SUM($AW46:BG46),"0")</f>
        <v>0.47142857142857142</v>
      </c>
      <c r="DP46" s="257">
        <f>IFERROR(SUM($BI46:BT46)/SUM($AW46:BH46),"0")</f>
        <v>0.35357142857142859</v>
      </c>
    </row>
    <row r="47" spans="1:120" ht="39" customHeight="1" x14ac:dyDescent="0.25">
      <c r="A47" s="198" t="s">
        <v>663</v>
      </c>
      <c r="B47" s="161" t="s">
        <v>201</v>
      </c>
      <c r="C47" s="176" t="s">
        <v>664</v>
      </c>
      <c r="D47" s="161" t="s">
        <v>470</v>
      </c>
      <c r="E47" s="162" t="s">
        <v>443</v>
      </c>
      <c r="F47" s="163" t="s">
        <v>665</v>
      </c>
      <c r="G47" s="161" t="s">
        <v>201</v>
      </c>
      <c r="H47" s="164" t="s">
        <v>666</v>
      </c>
      <c r="I47" s="164" t="s">
        <v>180</v>
      </c>
      <c r="J47" s="164" t="s">
        <v>205</v>
      </c>
      <c r="K47" s="161" t="s">
        <v>181</v>
      </c>
      <c r="L47" s="164" t="s">
        <v>448</v>
      </c>
      <c r="M47" s="164"/>
      <c r="N47" s="164"/>
      <c r="O47" s="164"/>
      <c r="P47" s="164" t="s">
        <v>667</v>
      </c>
      <c r="Q47" s="164" t="s">
        <v>668</v>
      </c>
      <c r="R47" s="164" t="s">
        <v>667</v>
      </c>
      <c r="S47" s="164" t="s">
        <v>233</v>
      </c>
      <c r="T47" s="164" t="s">
        <v>669</v>
      </c>
      <c r="U47" s="164" t="s">
        <v>233</v>
      </c>
      <c r="V47" s="164" t="s">
        <v>670</v>
      </c>
      <c r="W47" s="164" t="s">
        <v>233</v>
      </c>
      <c r="X47" s="176">
        <v>0</v>
      </c>
      <c r="Y47" s="176">
        <v>0</v>
      </c>
      <c r="Z47" s="166" t="s">
        <v>215</v>
      </c>
      <c r="AA47" s="164" t="s">
        <v>456</v>
      </c>
      <c r="AB47" s="176" t="s">
        <v>217</v>
      </c>
      <c r="AC47" s="164" t="s">
        <v>661</v>
      </c>
      <c r="AD47" s="164" t="s">
        <v>661</v>
      </c>
      <c r="AE47" s="164" t="s">
        <v>220</v>
      </c>
      <c r="AF47" s="164">
        <v>0</v>
      </c>
      <c r="AG47" s="167">
        <v>7</v>
      </c>
      <c r="AH47" s="436">
        <v>7</v>
      </c>
      <c r="AI47" s="305">
        <v>100</v>
      </c>
      <c r="AJ47" s="187">
        <v>7</v>
      </c>
      <c r="AK47" s="187"/>
      <c r="AL47" s="164">
        <v>0</v>
      </c>
      <c r="AM47" s="171">
        <v>7</v>
      </c>
      <c r="AN47" s="440">
        <v>8</v>
      </c>
      <c r="AO47" s="449">
        <v>100</v>
      </c>
      <c r="AP47" s="512">
        <v>5</v>
      </c>
      <c r="AQ47" s="191">
        <v>0</v>
      </c>
      <c r="AR47" s="123" t="str">
        <f t="shared" si="11"/>
        <v>0</v>
      </c>
      <c r="AS47" s="123">
        <f t="shared" si="13"/>
        <v>1</v>
      </c>
      <c r="AT47" s="123">
        <f t="shared" si="12"/>
        <v>1</v>
      </c>
      <c r="AU47" s="123">
        <f t="shared" si="14"/>
        <v>0.7142857142857143</v>
      </c>
      <c r="AV47" s="123" t="str">
        <f t="shared" si="15"/>
        <v>0</v>
      </c>
      <c r="AW47" s="187">
        <v>0</v>
      </c>
      <c r="AX47" s="187">
        <v>0</v>
      </c>
      <c r="AY47" s="456">
        <v>2</v>
      </c>
      <c r="AZ47" s="187">
        <v>0</v>
      </c>
      <c r="BA47" s="187">
        <v>0</v>
      </c>
      <c r="BB47" s="187">
        <v>2</v>
      </c>
      <c r="BC47" s="187">
        <v>0</v>
      </c>
      <c r="BD47" s="187">
        <v>0</v>
      </c>
      <c r="BE47" s="187">
        <v>2</v>
      </c>
      <c r="BF47" s="187">
        <v>0</v>
      </c>
      <c r="BG47" s="187">
        <v>0</v>
      </c>
      <c r="BH47" s="187">
        <v>1</v>
      </c>
      <c r="BI47" s="466">
        <v>0</v>
      </c>
      <c r="BJ47" s="466">
        <v>0</v>
      </c>
      <c r="BK47" s="466">
        <v>3</v>
      </c>
      <c r="BL47" s="466">
        <v>0</v>
      </c>
      <c r="BM47" s="466">
        <v>0</v>
      </c>
      <c r="BN47" s="516">
        <v>2</v>
      </c>
      <c r="BO47" s="466">
        <v>0</v>
      </c>
      <c r="BP47" s="466">
        <v>0</v>
      </c>
      <c r="BQ47" s="466">
        <v>0</v>
      </c>
      <c r="BR47" s="466">
        <v>0</v>
      </c>
      <c r="BS47" s="466">
        <v>0</v>
      </c>
      <c r="BT47" s="466">
        <v>0</v>
      </c>
      <c r="BU47" s="179" t="s">
        <v>1269</v>
      </c>
      <c r="BV47" s="179" t="s">
        <v>1269</v>
      </c>
      <c r="BW47" s="179" t="s">
        <v>1293</v>
      </c>
      <c r="BX47" s="179" t="s">
        <v>1269</v>
      </c>
      <c r="BY47" s="179" t="s">
        <v>1269</v>
      </c>
      <c r="BZ47" s="179" t="s">
        <v>1398</v>
      </c>
      <c r="CA47" s="179" t="s">
        <v>1269</v>
      </c>
      <c r="CB47" s="179" t="s">
        <v>1269</v>
      </c>
      <c r="CC47" s="179"/>
      <c r="CD47" s="179" t="s">
        <v>1269</v>
      </c>
      <c r="CE47" s="179" t="s">
        <v>1269</v>
      </c>
      <c r="CF47" s="179"/>
      <c r="CG47" s="90"/>
      <c r="CH47" s="504">
        <f t="shared" si="9"/>
        <v>2</v>
      </c>
      <c r="CI47" s="74" t="s">
        <v>1413</v>
      </c>
      <c r="CJ47" s="194">
        <v>3</v>
      </c>
      <c r="CK47" s="194">
        <v>4</v>
      </c>
      <c r="CL47" s="194">
        <v>5</v>
      </c>
      <c r="CM47" s="194">
        <v>6</v>
      </c>
      <c r="CN47" s="194">
        <v>7</v>
      </c>
      <c r="CO47" s="194">
        <v>8</v>
      </c>
      <c r="CP47" s="213"/>
      <c r="CQ47" s="208" t="str">
        <f t="shared" si="6"/>
        <v>OPERATIVO</v>
      </c>
      <c r="CR47" s="215">
        <f t="shared" si="7"/>
        <v>0.7142857142857143</v>
      </c>
      <c r="CS47" s="216">
        <f>IFERROR(SUM($BI47:BI47)/SUM($AW47:AW47),0)</f>
        <v>0</v>
      </c>
      <c r="CT47" s="216">
        <f>IFERROR(SUM($BI47:BJ47)/SUM($AW47:AX47),0)</f>
        <v>0</v>
      </c>
      <c r="CU47" s="216">
        <f>IFERROR(SUM($BI47:BK47)/SUM($AW47:AY47),0)</f>
        <v>1.5</v>
      </c>
      <c r="CV47" s="216">
        <f>IFERROR(SUM($BI47:BL47)/SUM($AW47:AZ47),0)</f>
        <v>1.5</v>
      </c>
      <c r="CW47" s="216">
        <f>IFERROR(SUM($BI47:BM47)/SUM($AW47:BA47),0)</f>
        <v>1.5</v>
      </c>
      <c r="CX47" s="216">
        <f>IFERROR(SUM($BI47:BN47)/SUM($AW47:BB47),0)</f>
        <v>1.25</v>
      </c>
      <c r="CY47" s="216">
        <f>IFERROR(SUM($BI47:BO47)/SUM($AW47:BC47),0)</f>
        <v>1.25</v>
      </c>
      <c r="CZ47" s="216">
        <f>IFERROR(SUM($BI47:BP47)/SUM($AW47:BD47),0)</f>
        <v>1.25</v>
      </c>
      <c r="DA47" s="216">
        <f>IFERROR(SUM($BI47:BQ47)/SUM($AW47:BE47),0)</f>
        <v>0.83333333333333337</v>
      </c>
      <c r="DB47" s="216">
        <f>IFERROR(SUM($BI47:BR47)/SUM($AW47:BF47),0)</f>
        <v>0.83333333333333337</v>
      </c>
      <c r="DC47" s="216">
        <f>IFERROR(SUM($BI47:BS47)/SUM($AW47:BG47),0)</f>
        <v>0.83333333333333337</v>
      </c>
      <c r="DD47" s="216">
        <f>IFERROR(SUM($BI47:BT47)/SUM($AW47:BH47),0)</f>
        <v>0.7142857142857143</v>
      </c>
      <c r="DE47" s="254" t="str">
        <f t="shared" si="10"/>
        <v>0</v>
      </c>
      <c r="DF47" s="255" t="str">
        <f>IFERROR(SUM($BI47:BJ47)/SUM($AW47:AX47),"0")</f>
        <v>0</v>
      </c>
      <c r="DG47" s="256">
        <f>IFERROR(SUM($BI47:BK47)/SUM($AW47:AY47),"0")</f>
        <v>1.5</v>
      </c>
      <c r="DH47" s="256">
        <f>IFERROR(SUM($BI47:BL47)/SUM($AW47:AZ47),"0")</f>
        <v>1.5</v>
      </c>
      <c r="DI47" s="256">
        <f>IFERROR(SUM($BI47:BM47)/SUM($AW47:BA47),"0")</f>
        <v>1.5</v>
      </c>
      <c r="DJ47" s="256">
        <f>IFERROR(SUM($BI47:BN47)/SUM($AW47:BB47),"0")</f>
        <v>1.25</v>
      </c>
      <c r="DK47" s="256">
        <f>IFERROR(SUM($BI47:BO47)/SUM($AW47:BC47),"0")</f>
        <v>1.25</v>
      </c>
      <c r="DL47" s="256">
        <f>IFERROR(SUM($BI47:BP47)/SUM($AW47:BD47),"0")</f>
        <v>1.25</v>
      </c>
      <c r="DM47" s="256">
        <f>IFERROR(SUM($BI47:BQ47)/SUM($AW47:BE47),"0")</f>
        <v>0.83333333333333337</v>
      </c>
      <c r="DN47" s="256">
        <f>IFERROR(SUM($BI47:BR47)/SUM($AW47:BF47),"0")</f>
        <v>0.83333333333333337</v>
      </c>
      <c r="DO47" s="256">
        <f>IFERROR(SUM($BI47:BS47)/SUM($AW47:BG47),"0")</f>
        <v>0.83333333333333337</v>
      </c>
      <c r="DP47" s="257">
        <f>IFERROR(SUM($BI47:BT47)/SUM($AW47:BH47),"0")</f>
        <v>0.7142857142857143</v>
      </c>
    </row>
    <row r="48" spans="1:120" ht="39" customHeight="1" x14ac:dyDescent="0.25">
      <c r="A48" s="198" t="s">
        <v>1247</v>
      </c>
      <c r="B48" s="161" t="s">
        <v>201</v>
      </c>
      <c r="C48" s="176" t="s">
        <v>671</v>
      </c>
      <c r="D48" s="161" t="s">
        <v>470</v>
      </c>
      <c r="E48" s="162" t="s">
        <v>443</v>
      </c>
      <c r="F48" s="163" t="s">
        <v>672</v>
      </c>
      <c r="G48" s="161" t="s">
        <v>201</v>
      </c>
      <c r="H48" s="164" t="s">
        <v>673</v>
      </c>
      <c r="I48" s="164" t="s">
        <v>253</v>
      </c>
      <c r="J48" s="164" t="s">
        <v>205</v>
      </c>
      <c r="K48" s="161" t="s">
        <v>181</v>
      </c>
      <c r="L48" s="164" t="s">
        <v>448</v>
      </c>
      <c r="M48" s="164"/>
      <c r="N48" s="164"/>
      <c r="O48" s="164"/>
      <c r="P48" s="164" t="s">
        <v>674</v>
      </c>
      <c r="Q48" s="164" t="s">
        <v>675</v>
      </c>
      <c r="R48" s="164" t="s">
        <v>676</v>
      </c>
      <c r="S48" s="164" t="s">
        <v>677</v>
      </c>
      <c r="T48" s="164" t="s">
        <v>678</v>
      </c>
      <c r="U48" s="164" t="s">
        <v>679</v>
      </c>
      <c r="V48" s="164" t="s">
        <v>680</v>
      </c>
      <c r="W48" s="164" t="s">
        <v>680</v>
      </c>
      <c r="X48" s="176">
        <v>0</v>
      </c>
      <c r="Y48" s="176">
        <v>0</v>
      </c>
      <c r="Z48" s="166" t="s">
        <v>193</v>
      </c>
      <c r="AA48" s="164" t="s">
        <v>456</v>
      </c>
      <c r="AB48" s="176" t="s">
        <v>217</v>
      </c>
      <c r="AC48" s="164" t="s">
        <v>661</v>
      </c>
      <c r="AD48" s="164" t="s">
        <v>330</v>
      </c>
      <c r="AE48" s="164" t="s">
        <v>220</v>
      </c>
      <c r="AF48" s="164">
        <v>0</v>
      </c>
      <c r="AG48" s="167">
        <v>100</v>
      </c>
      <c r="AH48" s="436">
        <v>100</v>
      </c>
      <c r="AI48" s="305">
        <v>100</v>
      </c>
      <c r="AJ48" s="187">
        <v>100</v>
      </c>
      <c r="AK48" s="187">
        <v>100</v>
      </c>
      <c r="AL48" s="167">
        <v>0</v>
      </c>
      <c r="AM48" s="171">
        <v>100</v>
      </c>
      <c r="AN48" s="440">
        <v>100</v>
      </c>
      <c r="AO48" s="432">
        <v>100</v>
      </c>
      <c r="AP48" s="512">
        <v>100</v>
      </c>
      <c r="AQ48" s="191">
        <v>0</v>
      </c>
      <c r="AR48" s="221" t="str">
        <f t="shared" si="11"/>
        <v>0</v>
      </c>
      <c r="AS48" s="221">
        <f t="shared" si="13"/>
        <v>1</v>
      </c>
      <c r="AT48" s="221">
        <f t="shared" si="12"/>
        <v>1</v>
      </c>
      <c r="AU48" s="221">
        <f t="shared" si="14"/>
        <v>1</v>
      </c>
      <c r="AV48" s="221">
        <f t="shared" si="15"/>
        <v>0</v>
      </c>
      <c r="AW48" s="187">
        <v>0</v>
      </c>
      <c r="AX48" s="187">
        <v>0</v>
      </c>
      <c r="AY48" s="473">
        <v>1</v>
      </c>
      <c r="AZ48" s="187">
        <v>0</v>
      </c>
      <c r="BA48" s="187">
        <v>0</v>
      </c>
      <c r="BB48" s="473">
        <v>1</v>
      </c>
      <c r="BC48" s="187">
        <v>0</v>
      </c>
      <c r="BD48" s="187">
        <v>0</v>
      </c>
      <c r="BE48" s="473">
        <v>1</v>
      </c>
      <c r="BF48" s="187">
        <v>0</v>
      </c>
      <c r="BG48" s="187">
        <v>0</v>
      </c>
      <c r="BH48" s="473">
        <v>1</v>
      </c>
      <c r="BI48" s="465">
        <v>0</v>
      </c>
      <c r="BJ48" s="465">
        <v>0</v>
      </c>
      <c r="BK48" s="464">
        <v>1</v>
      </c>
      <c r="BL48" s="465">
        <v>0</v>
      </c>
      <c r="BM48" s="465">
        <v>0</v>
      </c>
      <c r="BN48" s="520">
        <v>1</v>
      </c>
      <c r="BO48" s="464">
        <v>0</v>
      </c>
      <c r="BP48" s="464">
        <v>0</v>
      </c>
      <c r="BQ48" s="464">
        <v>0</v>
      </c>
      <c r="BR48" s="464">
        <v>0</v>
      </c>
      <c r="BS48" s="464">
        <v>0</v>
      </c>
      <c r="BT48" s="464">
        <v>0</v>
      </c>
      <c r="BU48" s="179" t="s">
        <v>1269</v>
      </c>
      <c r="BV48" s="179" t="s">
        <v>1269</v>
      </c>
      <c r="BW48" s="164" t="s">
        <v>1318</v>
      </c>
      <c r="BX48" s="179" t="s">
        <v>1269</v>
      </c>
      <c r="BY48" s="179" t="s">
        <v>1269</v>
      </c>
      <c r="BZ48" s="179" t="s">
        <v>1399</v>
      </c>
      <c r="CA48" s="179" t="s">
        <v>1269</v>
      </c>
      <c r="CB48" s="179" t="s">
        <v>1269</v>
      </c>
      <c r="CC48" s="179"/>
      <c r="CD48" s="179" t="s">
        <v>1269</v>
      </c>
      <c r="CE48" s="179" t="s">
        <v>1269</v>
      </c>
      <c r="CF48" s="179"/>
      <c r="CG48" s="184"/>
      <c r="CH48" s="504">
        <f t="shared" si="9"/>
        <v>0</v>
      </c>
      <c r="CI48" s="176" t="s">
        <v>1413</v>
      </c>
      <c r="CJ48" s="238">
        <v>0</v>
      </c>
      <c r="CK48" s="238">
        <v>79</v>
      </c>
      <c r="CL48" s="238">
        <v>80</v>
      </c>
      <c r="CM48" s="238">
        <v>94</v>
      </c>
      <c r="CN48" s="238">
        <v>95</v>
      </c>
      <c r="CO48" s="238">
        <v>100</v>
      </c>
      <c r="CP48" s="236"/>
      <c r="CQ48" s="223" t="str">
        <f t="shared" si="6"/>
        <v>OPERATIVO</v>
      </c>
      <c r="CR48" s="224">
        <f t="shared" si="7"/>
        <v>0.5</v>
      </c>
      <c r="CS48" s="225">
        <f>IFERROR(SUM($BI48:BI48)/SUM($AW48:AW48),0)</f>
        <v>0</v>
      </c>
      <c r="CT48" s="225">
        <f>IFERROR(SUM($BI48:BJ48)/SUM($AW48:AX48),0)</f>
        <v>0</v>
      </c>
      <c r="CU48" s="225">
        <f>IFERROR(SUM($BI48:BK48)/SUM($AW48:AY48),0)</f>
        <v>1</v>
      </c>
      <c r="CV48" s="225">
        <f>IFERROR(SUM($BI48:BL48)/SUM($AW48:AZ48),0)</f>
        <v>1</v>
      </c>
      <c r="CW48" s="225">
        <f>IFERROR(SUM($BI48:BM48)/SUM($AW48:BA48),0)</f>
        <v>1</v>
      </c>
      <c r="CX48" s="225">
        <f>IFERROR(SUM($BI48:BN48)/SUM($AW48:BB48),0)</f>
        <v>1</v>
      </c>
      <c r="CY48" s="225">
        <f>IFERROR(SUM($BI48:BO48)/SUM($AW48:BC48),0)</f>
        <v>1</v>
      </c>
      <c r="CZ48" s="225">
        <f>IFERROR(SUM($BI48:BP48)/SUM($AW48:BD48),0)</f>
        <v>1</v>
      </c>
      <c r="DA48" s="225">
        <f>IFERROR(SUM($BI48:BQ48)/SUM($AW48:BE48),0)</f>
        <v>0.66666666666666663</v>
      </c>
      <c r="DB48" s="225">
        <f>IFERROR(SUM($BI48:BR48)/SUM($AW48:BF48),0)</f>
        <v>0.66666666666666663</v>
      </c>
      <c r="DC48" s="225">
        <f>IFERROR(SUM($BI48:BS48)/SUM($AW48:BG48),0)</f>
        <v>0.66666666666666663</v>
      </c>
      <c r="DD48" s="225">
        <f>IFERROR(SUM($BI48:BT48)/SUM($AW48:BH48),0)</f>
        <v>0.5</v>
      </c>
      <c r="DE48" s="254" t="str">
        <f t="shared" si="10"/>
        <v>0</v>
      </c>
      <c r="DF48" s="255" t="str">
        <f>IFERROR(SUM($BI48:BJ48)/SUM($AW48:AX48),"0")</f>
        <v>0</v>
      </c>
      <c r="DG48" s="256">
        <f>IFERROR(SUM($BI48:BK48)/SUM($AW48:AY48),"0")</f>
        <v>1</v>
      </c>
      <c r="DH48" s="256">
        <f>IFERROR(SUM($BI48:BL48)/SUM($AW48:AZ48),"0")</f>
        <v>1</v>
      </c>
      <c r="DI48" s="256">
        <f>IFERROR(SUM($BI48:BM48)/SUM($AW48:BA48),"0")</f>
        <v>1</v>
      </c>
      <c r="DJ48" s="256">
        <f>IFERROR(SUM($BI48:BN48)/SUM($AW48:BB48),"0")</f>
        <v>1</v>
      </c>
      <c r="DK48" s="256">
        <f>IFERROR(SUM($BI48:BO48)/SUM($AW48:BC48),"0")</f>
        <v>1</v>
      </c>
      <c r="DL48" s="256">
        <f>IFERROR(SUM($BI48:BP48)/SUM($AW48:BD48),"0")</f>
        <v>1</v>
      </c>
      <c r="DM48" s="256">
        <f>IFERROR(SUM($BI48:BQ48)/SUM($AW48:BE48),"0")</f>
        <v>0.66666666666666663</v>
      </c>
      <c r="DN48" s="256">
        <f>IFERROR(SUM($BI48:BR48)/SUM($AW48:BF48),"0")</f>
        <v>0.66666666666666663</v>
      </c>
      <c r="DO48" s="256">
        <f>IFERROR(SUM($BI48:BS48)/SUM($AW48:BG48),"0")</f>
        <v>0.66666666666666663</v>
      </c>
      <c r="DP48" s="257">
        <f>IFERROR(SUM($BI48:BT48)/SUM($AW48:BH48),"0")</f>
        <v>0.5</v>
      </c>
    </row>
    <row r="49" spans="1:120" ht="39" customHeight="1" x14ac:dyDescent="0.25">
      <c r="A49" s="198" t="s">
        <v>696</v>
      </c>
      <c r="B49" s="161" t="s">
        <v>201</v>
      </c>
      <c r="C49" s="176" t="s">
        <v>688</v>
      </c>
      <c r="D49" s="161" t="s">
        <v>470</v>
      </c>
      <c r="E49" s="162" t="s">
        <v>443</v>
      </c>
      <c r="F49" s="163" t="s">
        <v>1248</v>
      </c>
      <c r="G49" s="161" t="s">
        <v>201</v>
      </c>
      <c r="H49" s="164" t="s">
        <v>698</v>
      </c>
      <c r="I49" s="164" t="s">
        <v>180</v>
      </c>
      <c r="J49" s="164" t="s">
        <v>205</v>
      </c>
      <c r="K49" s="161" t="s">
        <v>181</v>
      </c>
      <c r="L49" s="164" t="s">
        <v>448</v>
      </c>
      <c r="M49" s="164"/>
      <c r="N49" s="164"/>
      <c r="O49" s="164"/>
      <c r="P49" s="164" t="s">
        <v>699</v>
      </c>
      <c r="Q49" s="164" t="s">
        <v>700</v>
      </c>
      <c r="R49" s="164" t="s">
        <v>701</v>
      </c>
      <c r="S49" s="164" t="s">
        <v>399</v>
      </c>
      <c r="T49" s="164" t="s">
        <v>1249</v>
      </c>
      <c r="U49" s="164" t="s">
        <v>399</v>
      </c>
      <c r="V49" s="164" t="s">
        <v>1250</v>
      </c>
      <c r="W49" s="164" t="s">
        <v>233</v>
      </c>
      <c r="X49" s="176">
        <v>10</v>
      </c>
      <c r="Y49" s="176" t="s">
        <v>1251</v>
      </c>
      <c r="Z49" s="166" t="s">
        <v>215</v>
      </c>
      <c r="AA49" s="164" t="s">
        <v>194</v>
      </c>
      <c r="AB49" s="176" t="s">
        <v>217</v>
      </c>
      <c r="AC49" s="164" t="s">
        <v>661</v>
      </c>
      <c r="AD49" s="164" t="s">
        <v>661</v>
      </c>
      <c r="AE49" s="164" t="s">
        <v>220</v>
      </c>
      <c r="AF49" s="164">
        <v>0</v>
      </c>
      <c r="AG49" s="167">
        <v>0</v>
      </c>
      <c r="AH49" s="436">
        <v>10</v>
      </c>
      <c r="AI49" s="305">
        <v>100</v>
      </c>
      <c r="AJ49" s="187">
        <v>10</v>
      </c>
      <c r="AK49" s="187"/>
      <c r="AL49" s="164"/>
      <c r="AM49" s="171"/>
      <c r="AN49" s="440">
        <v>14</v>
      </c>
      <c r="AO49" s="432">
        <v>100</v>
      </c>
      <c r="AP49" s="512">
        <v>6</v>
      </c>
      <c r="AQ49" s="191">
        <v>0</v>
      </c>
      <c r="AR49" s="123" t="str">
        <f t="shared" si="11"/>
        <v>0</v>
      </c>
      <c r="AS49" s="123" t="str">
        <f t="shared" si="13"/>
        <v>0</v>
      </c>
      <c r="AT49" s="123">
        <f t="shared" si="12"/>
        <v>1</v>
      </c>
      <c r="AU49" s="123">
        <f t="shared" si="14"/>
        <v>0.6</v>
      </c>
      <c r="AV49" s="123" t="str">
        <f t="shared" si="15"/>
        <v>0</v>
      </c>
      <c r="AW49" s="187">
        <v>0</v>
      </c>
      <c r="AX49" s="187">
        <v>0</v>
      </c>
      <c r="AY49" s="456">
        <v>3</v>
      </c>
      <c r="AZ49" s="187">
        <v>0</v>
      </c>
      <c r="BA49" s="187">
        <v>0</v>
      </c>
      <c r="BB49" s="187">
        <v>3</v>
      </c>
      <c r="BC49" s="187">
        <v>0</v>
      </c>
      <c r="BD49" s="187">
        <v>0</v>
      </c>
      <c r="BE49" s="187">
        <v>2</v>
      </c>
      <c r="BF49" s="187">
        <v>0</v>
      </c>
      <c r="BG49" s="187">
        <v>0</v>
      </c>
      <c r="BH49" s="187">
        <v>2</v>
      </c>
      <c r="BI49" s="466">
        <v>0</v>
      </c>
      <c r="BJ49" s="466">
        <v>0</v>
      </c>
      <c r="BK49" s="466">
        <v>3</v>
      </c>
      <c r="BL49" s="466">
        <v>0</v>
      </c>
      <c r="BM49" s="466">
        <v>0</v>
      </c>
      <c r="BN49" s="516">
        <v>3</v>
      </c>
      <c r="BO49" s="466">
        <v>0</v>
      </c>
      <c r="BP49" s="466">
        <v>0</v>
      </c>
      <c r="BQ49" s="466">
        <v>0</v>
      </c>
      <c r="BR49" s="466">
        <v>0</v>
      </c>
      <c r="BS49" s="466">
        <v>0</v>
      </c>
      <c r="BT49" s="466">
        <v>0</v>
      </c>
      <c r="BU49" s="179" t="s">
        <v>1269</v>
      </c>
      <c r="BV49" s="179" t="s">
        <v>1269</v>
      </c>
      <c r="BW49" s="179" t="s">
        <v>1294</v>
      </c>
      <c r="BX49" s="179" t="s">
        <v>1269</v>
      </c>
      <c r="BY49" s="179" t="s">
        <v>1269</v>
      </c>
      <c r="BZ49" s="179" t="s">
        <v>1400</v>
      </c>
      <c r="CA49" s="179" t="s">
        <v>1269</v>
      </c>
      <c r="CB49" s="179" t="s">
        <v>1269</v>
      </c>
      <c r="CC49" s="179"/>
      <c r="CD49" s="179" t="s">
        <v>1269</v>
      </c>
      <c r="CE49" s="179" t="s">
        <v>1269</v>
      </c>
      <c r="CF49" s="179"/>
      <c r="CG49" s="90"/>
      <c r="CH49" s="504">
        <f t="shared" si="9"/>
        <v>4</v>
      </c>
      <c r="CI49" s="74" t="s">
        <v>1413</v>
      </c>
      <c r="CJ49" s="194"/>
      <c r="CK49" s="194"/>
      <c r="CL49" s="194"/>
      <c r="CM49" s="194"/>
      <c r="CN49" s="194"/>
      <c r="CO49" s="194"/>
      <c r="CP49" s="213"/>
      <c r="CQ49" s="208"/>
      <c r="CR49" s="215"/>
      <c r="CS49" s="216"/>
      <c r="CT49" s="216"/>
      <c r="CU49" s="216"/>
      <c r="CV49" s="216"/>
      <c r="CW49" s="216"/>
      <c r="CX49" s="216"/>
      <c r="CY49" s="216"/>
      <c r="CZ49" s="216"/>
      <c r="DA49" s="216"/>
      <c r="DB49" s="216"/>
      <c r="DC49" s="216"/>
      <c r="DD49" s="216"/>
      <c r="DE49" s="250" t="str">
        <f t="shared" si="10"/>
        <v>0</v>
      </c>
      <c r="DF49" s="251" t="str">
        <f>IFERROR(SUM($BI49:BJ49)/SUM($AW49:AX49),"0")</f>
        <v>0</v>
      </c>
      <c r="DG49" s="252">
        <f>IFERROR(SUM($BI49:BK49)/SUM($AW49:AY49),"0")</f>
        <v>1</v>
      </c>
      <c r="DH49" s="252">
        <f>IFERROR(SUM($BI49:BL49)/SUM($AW49:AZ49),"0")</f>
        <v>1</v>
      </c>
      <c r="DI49" s="252">
        <f>IFERROR(SUM($BI49:BM49)/SUM($AW49:BA49),"0")</f>
        <v>1</v>
      </c>
      <c r="DJ49" s="252">
        <f>IFERROR(SUM($BI49:BN49)/SUM($AW49:BB49),"0")</f>
        <v>1</v>
      </c>
      <c r="DK49" s="252">
        <f>IFERROR(SUM($BI49:BO49)/SUM($AW49:BC49),"0")</f>
        <v>1</v>
      </c>
      <c r="DL49" s="252">
        <f>IFERROR(SUM($BI49:BP49)/SUM($AW49:BD49),"0")</f>
        <v>1</v>
      </c>
      <c r="DM49" s="252">
        <f>IFERROR(SUM($BI49:BQ49)/SUM($AW49:BE49),"0")</f>
        <v>0.75</v>
      </c>
      <c r="DN49" s="252">
        <f>IFERROR(SUM($BI49:BR49)/SUM($AW49:BF49),"0")</f>
        <v>0.75</v>
      </c>
      <c r="DO49" s="252">
        <f>IFERROR(SUM($BI49:BS49)/SUM($AW49:BG49),"0")</f>
        <v>0.75</v>
      </c>
      <c r="DP49" s="253">
        <f>IFERROR(SUM($BI49:BT49)/SUM($AW49:BH49),"0")</f>
        <v>0.6</v>
      </c>
    </row>
    <row r="50" spans="1:120" ht="39" customHeight="1" x14ac:dyDescent="0.25">
      <c r="A50" s="198" t="s">
        <v>1252</v>
      </c>
      <c r="B50" s="161" t="s">
        <v>201</v>
      </c>
      <c r="C50" s="176" t="s">
        <v>688</v>
      </c>
      <c r="D50" s="161" t="s">
        <v>470</v>
      </c>
      <c r="E50" s="162" t="s">
        <v>443</v>
      </c>
      <c r="F50" s="163" t="s">
        <v>689</v>
      </c>
      <c r="G50" s="161" t="s">
        <v>201</v>
      </c>
      <c r="H50" s="164" t="s">
        <v>1253</v>
      </c>
      <c r="I50" s="164" t="s">
        <v>253</v>
      </c>
      <c r="J50" s="164" t="s">
        <v>205</v>
      </c>
      <c r="K50" s="161" t="s">
        <v>181</v>
      </c>
      <c r="L50" s="164" t="s">
        <v>448</v>
      </c>
      <c r="M50" s="164"/>
      <c r="N50" s="164"/>
      <c r="O50" s="164"/>
      <c r="P50" s="164" t="s">
        <v>1254</v>
      </c>
      <c r="Q50" s="164" t="s">
        <v>690</v>
      </c>
      <c r="R50" s="164" t="s">
        <v>691</v>
      </c>
      <c r="S50" s="164" t="s">
        <v>692</v>
      </c>
      <c r="T50" s="164" t="s">
        <v>693</v>
      </c>
      <c r="U50" s="164" t="s">
        <v>694</v>
      </c>
      <c r="V50" s="164" t="s">
        <v>695</v>
      </c>
      <c r="W50" s="164" t="s">
        <v>695</v>
      </c>
      <c r="X50" s="176">
        <v>0</v>
      </c>
      <c r="Y50" s="176">
        <v>0</v>
      </c>
      <c r="Z50" s="166" t="s">
        <v>193</v>
      </c>
      <c r="AA50" s="164" t="s">
        <v>456</v>
      </c>
      <c r="AB50" s="176" t="s">
        <v>217</v>
      </c>
      <c r="AC50" s="164" t="s">
        <v>661</v>
      </c>
      <c r="AD50" s="164" t="s">
        <v>661</v>
      </c>
      <c r="AE50" s="164" t="s">
        <v>220</v>
      </c>
      <c r="AF50" s="164">
        <v>0</v>
      </c>
      <c r="AG50" s="167">
        <v>0</v>
      </c>
      <c r="AH50" s="436">
        <v>40</v>
      </c>
      <c r="AI50" s="305">
        <v>100</v>
      </c>
      <c r="AJ50" s="187">
        <v>40</v>
      </c>
      <c r="AK50" s="187"/>
      <c r="AL50" s="164">
        <v>0</v>
      </c>
      <c r="AM50" s="171">
        <v>0</v>
      </c>
      <c r="AN50" s="440">
        <v>51</v>
      </c>
      <c r="AO50" s="449">
        <v>100</v>
      </c>
      <c r="AP50" s="512">
        <v>55</v>
      </c>
      <c r="AQ50" s="191">
        <v>0</v>
      </c>
      <c r="AR50" s="123" t="str">
        <f t="shared" si="11"/>
        <v>0</v>
      </c>
      <c r="AS50" s="123" t="str">
        <f t="shared" si="13"/>
        <v>0</v>
      </c>
      <c r="AT50" s="123">
        <f t="shared" si="12"/>
        <v>1</v>
      </c>
      <c r="AU50" s="123">
        <f t="shared" si="14"/>
        <v>1.375</v>
      </c>
      <c r="AV50" s="123" t="str">
        <f t="shared" si="15"/>
        <v>0</v>
      </c>
      <c r="AW50" s="187">
        <v>0</v>
      </c>
      <c r="AX50" s="187">
        <v>0</v>
      </c>
      <c r="AY50" s="473">
        <v>0.4</v>
      </c>
      <c r="AZ50" s="187">
        <v>0</v>
      </c>
      <c r="BA50" s="187">
        <v>0</v>
      </c>
      <c r="BB50" s="473">
        <v>0.4</v>
      </c>
      <c r="BC50" s="187">
        <v>0</v>
      </c>
      <c r="BD50" s="187">
        <v>0</v>
      </c>
      <c r="BE50" s="473">
        <v>0.4</v>
      </c>
      <c r="BF50" s="187">
        <v>0</v>
      </c>
      <c r="BG50" s="187">
        <v>0</v>
      </c>
      <c r="BH50" s="473">
        <v>0.4</v>
      </c>
      <c r="BI50" s="461">
        <v>0</v>
      </c>
      <c r="BJ50" s="461">
        <v>0</v>
      </c>
      <c r="BK50" s="461">
        <v>0.51600000000000001</v>
      </c>
      <c r="BL50" s="461">
        <v>0</v>
      </c>
      <c r="BM50" s="461">
        <v>0</v>
      </c>
      <c r="BN50" s="523">
        <v>0.59</v>
      </c>
      <c r="BO50" s="461">
        <v>0</v>
      </c>
      <c r="BP50" s="461">
        <v>0</v>
      </c>
      <c r="BQ50" s="461">
        <v>0</v>
      </c>
      <c r="BR50" s="461">
        <v>0</v>
      </c>
      <c r="BS50" s="461">
        <v>0</v>
      </c>
      <c r="BT50" s="461">
        <v>0</v>
      </c>
      <c r="BU50" s="179" t="s">
        <v>1269</v>
      </c>
      <c r="BV50" s="179" t="s">
        <v>1269</v>
      </c>
      <c r="BW50" s="179" t="s">
        <v>1295</v>
      </c>
      <c r="BX50" s="179" t="s">
        <v>1269</v>
      </c>
      <c r="BY50" s="179" t="s">
        <v>1269</v>
      </c>
      <c r="BZ50" s="179" t="s">
        <v>1401</v>
      </c>
      <c r="CA50" s="179" t="s">
        <v>1269</v>
      </c>
      <c r="CB50" s="179" t="s">
        <v>1269</v>
      </c>
      <c r="CC50" s="179"/>
      <c r="CD50" s="179" t="s">
        <v>1269</v>
      </c>
      <c r="CE50" s="179" t="s">
        <v>1269</v>
      </c>
      <c r="CF50" s="179"/>
      <c r="CG50" s="90"/>
      <c r="CH50" s="504">
        <f t="shared" si="9"/>
        <v>-15</v>
      </c>
      <c r="CI50" s="74" t="s">
        <v>1413</v>
      </c>
      <c r="CJ50" s="194"/>
      <c r="CK50" s="194"/>
      <c r="CL50" s="194"/>
      <c r="CM50" s="194"/>
      <c r="CN50" s="194"/>
      <c r="CO50" s="194"/>
      <c r="CP50" s="213"/>
      <c r="CQ50" s="208"/>
      <c r="CR50" s="215"/>
      <c r="CS50" s="216"/>
      <c r="CT50" s="216"/>
      <c r="CU50" s="216"/>
      <c r="CV50" s="216"/>
      <c r="CW50" s="216"/>
      <c r="CX50" s="216"/>
      <c r="CY50" s="216"/>
      <c r="CZ50" s="216"/>
      <c r="DA50" s="216"/>
      <c r="DB50" s="216"/>
      <c r="DC50" s="216"/>
      <c r="DD50" s="216"/>
      <c r="DE50" s="250" t="str">
        <f t="shared" si="10"/>
        <v>0</v>
      </c>
      <c r="DF50" s="251" t="str">
        <f>IFERROR(SUM($BI50:BJ50)/SUM($AW50:AX50),"0")</f>
        <v>0</v>
      </c>
      <c r="DG50" s="252">
        <f>IFERROR(SUM($BI50:BK50)/SUM($AW50:AY50),"0")</f>
        <v>1.29</v>
      </c>
      <c r="DH50" s="252">
        <f>IFERROR(SUM($BI50:BL50)/SUM($AW50:AZ50),"0")</f>
        <v>1.29</v>
      </c>
      <c r="DI50" s="252">
        <f>IFERROR(SUM($BI50:BM50)/SUM($AW50:BA50),"0")</f>
        <v>1.29</v>
      </c>
      <c r="DJ50" s="252">
        <f>IFERROR(SUM($BI50:BN50)/SUM($AW50:BB50),"0")</f>
        <v>1.3824999999999998</v>
      </c>
      <c r="DK50" s="252">
        <f>IFERROR(SUM($BI50:BO50)/SUM($AW50:BC50),"0")</f>
        <v>1.3824999999999998</v>
      </c>
      <c r="DL50" s="252">
        <f>IFERROR(SUM($BI50:BP50)/SUM($AW50:BD50),"0")</f>
        <v>1.3824999999999998</v>
      </c>
      <c r="DM50" s="252">
        <f>IFERROR(SUM($BI50:BQ50)/SUM($AW50:BE50),"0")</f>
        <v>0.92166666666666641</v>
      </c>
      <c r="DN50" s="252">
        <f>IFERROR(SUM($BI50:BR50)/SUM($AW50:BF50),"0")</f>
        <v>0.92166666666666641</v>
      </c>
      <c r="DO50" s="252">
        <f>IFERROR(SUM($BI50:BS50)/SUM($AW50:BG50),"0")</f>
        <v>0.92166666666666641</v>
      </c>
      <c r="DP50" s="253">
        <f>IFERROR(SUM($BI50:BT50)/SUM($AW50:BH50),"0")</f>
        <v>0.69124999999999992</v>
      </c>
    </row>
    <row r="51" spans="1:120" ht="39" customHeight="1" x14ac:dyDescent="0.25">
      <c r="A51" s="381" t="s">
        <v>1167</v>
      </c>
      <c r="B51" s="161" t="s">
        <v>703</v>
      </c>
      <c r="C51" s="176" t="s">
        <v>1168</v>
      </c>
      <c r="D51" s="161" t="s">
        <v>470</v>
      </c>
      <c r="E51" s="162" t="s">
        <v>443</v>
      </c>
      <c r="F51" s="163" t="s">
        <v>1157</v>
      </c>
      <c r="G51" s="161" t="s">
        <v>703</v>
      </c>
      <c r="H51" s="164" t="s">
        <v>1190</v>
      </c>
      <c r="I51" s="166" t="s">
        <v>357</v>
      </c>
      <c r="J51" s="180" t="s">
        <v>707</v>
      </c>
      <c r="K51" s="161" t="s">
        <v>181</v>
      </c>
      <c r="L51" s="164" t="s">
        <v>406</v>
      </c>
      <c r="M51" s="164"/>
      <c r="N51" s="164"/>
      <c r="O51" s="164"/>
      <c r="P51" s="164" t="s">
        <v>708</v>
      </c>
      <c r="Q51" s="164" t="s">
        <v>567</v>
      </c>
      <c r="R51" s="164" t="s">
        <v>709</v>
      </c>
      <c r="S51" s="164" t="s">
        <v>710</v>
      </c>
      <c r="T51" s="164" t="s">
        <v>711</v>
      </c>
      <c r="U51" s="164" t="s">
        <v>712</v>
      </c>
      <c r="V51" s="164" t="s">
        <v>713</v>
      </c>
      <c r="W51" s="164" t="s">
        <v>713</v>
      </c>
      <c r="X51" s="178" t="s">
        <v>399</v>
      </c>
      <c r="Y51" s="164" t="s">
        <v>399</v>
      </c>
      <c r="Z51" s="166" t="s">
        <v>215</v>
      </c>
      <c r="AA51" s="164" t="s">
        <v>456</v>
      </c>
      <c r="AB51" s="176" t="s">
        <v>217</v>
      </c>
      <c r="AC51" s="164" t="s">
        <v>714</v>
      </c>
      <c r="AD51" s="164" t="s">
        <v>715</v>
      </c>
      <c r="AE51" s="164" t="s">
        <v>716</v>
      </c>
      <c r="AF51" s="164">
        <v>0</v>
      </c>
      <c r="AG51" s="173">
        <v>0</v>
      </c>
      <c r="AH51" s="441">
        <v>0</v>
      </c>
      <c r="AI51" s="169">
        <v>0</v>
      </c>
      <c r="AJ51" s="527">
        <v>48</v>
      </c>
      <c r="AK51" s="173">
        <v>0</v>
      </c>
      <c r="AL51" s="173">
        <v>0</v>
      </c>
      <c r="AM51" s="171">
        <v>0</v>
      </c>
      <c r="AN51" s="428">
        <v>0</v>
      </c>
      <c r="AO51" s="477">
        <v>0</v>
      </c>
      <c r="AP51" s="512">
        <v>24</v>
      </c>
      <c r="AQ51" s="191">
        <v>0</v>
      </c>
      <c r="AR51" s="221" t="str">
        <f t="shared" si="11"/>
        <v>0</v>
      </c>
      <c r="AS51" s="221" t="str">
        <f t="shared" si="13"/>
        <v>0</v>
      </c>
      <c r="AT51" s="221" t="str">
        <f t="shared" si="12"/>
        <v>0</v>
      </c>
      <c r="AU51" s="221">
        <f t="shared" si="14"/>
        <v>0.5</v>
      </c>
      <c r="AV51" s="221" t="str">
        <f t="shared" si="15"/>
        <v>0</v>
      </c>
      <c r="AW51" s="187">
        <v>0</v>
      </c>
      <c r="AX51" s="187">
        <v>0</v>
      </c>
      <c r="AY51" s="187">
        <v>12</v>
      </c>
      <c r="AZ51" s="187">
        <v>0</v>
      </c>
      <c r="BA51" s="187">
        <v>0</v>
      </c>
      <c r="BB51" s="187">
        <v>12</v>
      </c>
      <c r="BC51" s="187">
        <v>0</v>
      </c>
      <c r="BD51" s="187">
        <v>0</v>
      </c>
      <c r="BE51" s="187">
        <v>12</v>
      </c>
      <c r="BF51" s="187">
        <v>0</v>
      </c>
      <c r="BG51" s="187">
        <v>0</v>
      </c>
      <c r="BH51" s="187">
        <v>12</v>
      </c>
      <c r="BI51" s="478">
        <v>0</v>
      </c>
      <c r="BJ51" s="478">
        <v>0</v>
      </c>
      <c r="BK51" s="478">
        <v>12</v>
      </c>
      <c r="BL51" s="478">
        <v>0</v>
      </c>
      <c r="BM51" s="478">
        <v>0</v>
      </c>
      <c r="BN51" s="526">
        <v>12</v>
      </c>
      <c r="BO51" s="478">
        <v>0</v>
      </c>
      <c r="BP51" s="478">
        <v>0</v>
      </c>
      <c r="BQ51" s="478">
        <v>0</v>
      </c>
      <c r="BR51" s="478">
        <v>0</v>
      </c>
      <c r="BS51" s="478">
        <v>0</v>
      </c>
      <c r="BT51" s="478">
        <v>0</v>
      </c>
      <c r="BU51" s="179" t="s">
        <v>1269</v>
      </c>
      <c r="BV51" s="179" t="s">
        <v>1269</v>
      </c>
      <c r="BW51" s="164" t="s">
        <v>1296</v>
      </c>
      <c r="BX51" s="179" t="s">
        <v>1269</v>
      </c>
      <c r="BY51" s="179" t="s">
        <v>1269</v>
      </c>
      <c r="BZ51" s="164" t="s">
        <v>1402</v>
      </c>
      <c r="CA51" s="179" t="s">
        <v>1269</v>
      </c>
      <c r="CB51" s="179" t="s">
        <v>1269</v>
      </c>
      <c r="CC51" s="164"/>
      <c r="CD51" s="179" t="s">
        <v>1269</v>
      </c>
      <c r="CE51" s="179" t="s">
        <v>1269</v>
      </c>
      <c r="CF51" s="164"/>
      <c r="CG51" s="377"/>
      <c r="CH51" s="504">
        <f t="shared" si="9"/>
        <v>24</v>
      </c>
      <c r="CI51" s="176" t="s">
        <v>1413</v>
      </c>
      <c r="CJ51" s="222">
        <v>0</v>
      </c>
      <c r="CK51" s="222">
        <v>0.59</v>
      </c>
      <c r="CL51" s="222">
        <v>0.6</v>
      </c>
      <c r="CM51" s="222">
        <v>0.94</v>
      </c>
      <c r="CN51" s="222">
        <v>0.95</v>
      </c>
      <c r="CO51" s="222">
        <v>1</v>
      </c>
      <c r="CP51" s="191"/>
      <c r="CQ51" s="378" t="str">
        <f t="shared" ref="CQ51:CQ90" si="16">D51</f>
        <v>OPERATIVO</v>
      </c>
      <c r="CR51" s="379">
        <f t="shared" ref="CR51:CR90" si="17">IFERROR(SUM(BI51:BT51)/SUM(AW51:BH51),0)</f>
        <v>0.5</v>
      </c>
      <c r="CS51" s="380">
        <f>IFERROR(SUM($BI51:BI51)/SUM($AW51:AW51),0)</f>
        <v>0</v>
      </c>
      <c r="CT51" s="380">
        <f>IFERROR(SUM($BI51:BJ51)/SUM($AW51:AX51),0)</f>
        <v>0</v>
      </c>
      <c r="CU51" s="380">
        <f>IFERROR(SUM($BI51:BK51)/SUM($AW51:AY51),0)</f>
        <v>1</v>
      </c>
      <c r="CV51" s="380">
        <f>IFERROR(SUM($BI51:BL51)/SUM($AW51:AZ51),0)</f>
        <v>1</v>
      </c>
      <c r="CW51" s="380">
        <f>IFERROR(SUM($BI51:BM51)/SUM($AW51:BA51),0)</f>
        <v>1</v>
      </c>
      <c r="CX51" s="380">
        <f>IFERROR(SUM($BI51:BN51)/SUM($AW51:BB51),0)</f>
        <v>1</v>
      </c>
      <c r="CY51" s="380">
        <f>IFERROR(SUM($BI51:BO51)/SUM($AW51:BC51),0)</f>
        <v>1</v>
      </c>
      <c r="CZ51" s="380">
        <f>IFERROR(SUM($BI51:BP51)/SUM($AW51:BD51),0)</f>
        <v>1</v>
      </c>
      <c r="DA51" s="380">
        <f>IFERROR(SUM($BI51:BQ51)/SUM($AW51:BE51),0)</f>
        <v>0.66666666666666663</v>
      </c>
      <c r="DB51" s="380">
        <f>IFERROR(SUM($BI51:BR51)/SUM($AW51:BF51),0)</f>
        <v>0.66666666666666663</v>
      </c>
      <c r="DC51" s="380">
        <f>IFERROR(SUM($BI51:BS51)/SUM($AW51:BG51),0)</f>
        <v>0.66666666666666663</v>
      </c>
      <c r="DD51" s="380">
        <f>IFERROR(SUM($BI51:BT51)/SUM($AW51:BH51),0)</f>
        <v>0.5</v>
      </c>
      <c r="DE51" s="250" t="str">
        <f t="shared" si="10"/>
        <v>0</v>
      </c>
      <c r="DF51" s="251" t="str">
        <f>IFERROR(SUM($BI51:BJ51)/SUM($AW51:AX51),"0")</f>
        <v>0</v>
      </c>
      <c r="DG51" s="252">
        <f>IFERROR(SUM($BI51:BK51)/SUM($AW51:AY51),"0")</f>
        <v>1</v>
      </c>
      <c r="DH51" s="252">
        <f>IFERROR(SUM($BI51:BL51)/SUM($AW51:AZ51),"0")</f>
        <v>1</v>
      </c>
      <c r="DI51" s="252">
        <f>IFERROR(SUM($BI51:BM51)/SUM($AW51:BA51),"0")</f>
        <v>1</v>
      </c>
      <c r="DJ51" s="252">
        <f>IFERROR(SUM($BI51:BN51)/SUM($AW51:BB51),"0")</f>
        <v>1</v>
      </c>
      <c r="DK51" s="252">
        <f>IFERROR(SUM($BI51:BO51)/SUM($AW51:BC51),"0")</f>
        <v>1</v>
      </c>
      <c r="DL51" s="252">
        <f>IFERROR(SUM($BI51:BP51)/SUM($AW51:BD51),"0")</f>
        <v>1</v>
      </c>
      <c r="DM51" s="252">
        <f>IFERROR(SUM($BI51:BQ51)/SUM($AW51:BE51),"0")</f>
        <v>0.66666666666666663</v>
      </c>
      <c r="DN51" s="252">
        <f>IFERROR(SUM($BI51:BR51)/SUM($AW51:BF51),"0")</f>
        <v>0.66666666666666663</v>
      </c>
      <c r="DO51" s="252">
        <f>IFERROR(SUM($BI51:BS51)/SUM($AW51:BG51),"0")</f>
        <v>0.66666666666666663</v>
      </c>
      <c r="DP51" s="253">
        <f>IFERROR(SUM($BI51:BT51)/SUM($AW51:BH51),"0")</f>
        <v>0.5</v>
      </c>
    </row>
    <row r="52" spans="1:120" ht="39" customHeight="1" x14ac:dyDescent="0.25">
      <c r="A52" s="198" t="s">
        <v>717</v>
      </c>
      <c r="B52" s="161" t="s">
        <v>703</v>
      </c>
      <c r="C52" s="176" t="s">
        <v>718</v>
      </c>
      <c r="D52" s="161" t="s">
        <v>470</v>
      </c>
      <c r="E52" s="162" t="s">
        <v>443</v>
      </c>
      <c r="F52" s="163" t="s">
        <v>719</v>
      </c>
      <c r="G52" s="161" t="s">
        <v>703</v>
      </c>
      <c r="H52" s="164" t="s">
        <v>720</v>
      </c>
      <c r="I52" s="166" t="s">
        <v>357</v>
      </c>
      <c r="J52" s="176" t="s">
        <v>721</v>
      </c>
      <c r="K52" s="161" t="s">
        <v>181</v>
      </c>
      <c r="L52" s="164" t="s">
        <v>448</v>
      </c>
      <c r="M52" s="164" t="s">
        <v>406</v>
      </c>
      <c r="N52" s="164"/>
      <c r="O52" s="164"/>
      <c r="P52" s="164" t="s">
        <v>722</v>
      </c>
      <c r="Q52" s="164" t="s">
        <v>723</v>
      </c>
      <c r="R52" s="164" t="s">
        <v>724</v>
      </c>
      <c r="S52" s="164" t="s">
        <v>725</v>
      </c>
      <c r="T52" s="164" t="s">
        <v>726</v>
      </c>
      <c r="U52" s="164" t="s">
        <v>727</v>
      </c>
      <c r="V52" s="164" t="s">
        <v>728</v>
      </c>
      <c r="W52" s="164" t="s">
        <v>729</v>
      </c>
      <c r="X52" s="166" t="s">
        <v>399</v>
      </c>
      <c r="Y52" s="166" t="s">
        <v>399</v>
      </c>
      <c r="Z52" s="166" t="s">
        <v>193</v>
      </c>
      <c r="AA52" s="164" t="s">
        <v>456</v>
      </c>
      <c r="AB52" s="176" t="s">
        <v>217</v>
      </c>
      <c r="AC52" s="164" t="s">
        <v>714</v>
      </c>
      <c r="AD52" s="164" t="s">
        <v>715</v>
      </c>
      <c r="AE52" s="164" t="s">
        <v>716</v>
      </c>
      <c r="AF52" s="164">
        <v>0</v>
      </c>
      <c r="AG52" s="173">
        <v>100</v>
      </c>
      <c r="AH52" s="441">
        <v>100</v>
      </c>
      <c r="AI52" s="305">
        <v>100</v>
      </c>
      <c r="AJ52" s="173">
        <v>100</v>
      </c>
      <c r="AK52" s="173">
        <v>100</v>
      </c>
      <c r="AL52" s="173">
        <v>0</v>
      </c>
      <c r="AM52" s="171">
        <v>100</v>
      </c>
      <c r="AN52" s="428">
        <v>100</v>
      </c>
      <c r="AO52" s="432">
        <v>100</v>
      </c>
      <c r="AP52" s="512">
        <v>100</v>
      </c>
      <c r="AQ52" s="191">
        <v>0</v>
      </c>
      <c r="AR52" s="221" t="str">
        <f t="shared" si="11"/>
        <v>0</v>
      </c>
      <c r="AS52" s="221">
        <f t="shared" si="13"/>
        <v>1</v>
      </c>
      <c r="AT52" s="221">
        <f t="shared" si="12"/>
        <v>1</v>
      </c>
      <c r="AU52" s="221">
        <f t="shared" si="14"/>
        <v>1</v>
      </c>
      <c r="AV52" s="221">
        <f t="shared" si="15"/>
        <v>0</v>
      </c>
      <c r="AW52" s="187">
        <v>0</v>
      </c>
      <c r="AX52" s="187">
        <v>0</v>
      </c>
      <c r="AY52" s="473">
        <v>1</v>
      </c>
      <c r="AZ52" s="187">
        <v>0</v>
      </c>
      <c r="BA52" s="187">
        <v>0</v>
      </c>
      <c r="BB52" s="473">
        <v>1</v>
      </c>
      <c r="BC52" s="187">
        <v>0</v>
      </c>
      <c r="BD52" s="187">
        <v>0</v>
      </c>
      <c r="BE52" s="473">
        <v>1</v>
      </c>
      <c r="BF52" s="187">
        <v>0</v>
      </c>
      <c r="BG52" s="187">
        <v>0</v>
      </c>
      <c r="BH52" s="473">
        <v>1</v>
      </c>
      <c r="BI52" s="464">
        <v>0</v>
      </c>
      <c r="BJ52" s="464">
        <v>0</v>
      </c>
      <c r="BK52" s="464">
        <v>1</v>
      </c>
      <c r="BL52" s="464">
        <v>0</v>
      </c>
      <c r="BM52" s="464">
        <v>0</v>
      </c>
      <c r="BN52" s="520">
        <v>1</v>
      </c>
      <c r="BO52" s="464">
        <v>0</v>
      </c>
      <c r="BP52" s="464">
        <v>0</v>
      </c>
      <c r="BQ52" s="464">
        <v>0</v>
      </c>
      <c r="BR52" s="464">
        <v>0</v>
      </c>
      <c r="BS52" s="464">
        <v>0</v>
      </c>
      <c r="BT52" s="464">
        <v>0</v>
      </c>
      <c r="BU52" s="179" t="s">
        <v>1269</v>
      </c>
      <c r="BV52" s="179" t="s">
        <v>1269</v>
      </c>
      <c r="BW52" s="164" t="s">
        <v>1297</v>
      </c>
      <c r="BX52" s="179" t="s">
        <v>1269</v>
      </c>
      <c r="BY52" s="179" t="s">
        <v>1269</v>
      </c>
      <c r="BZ52" s="179" t="s">
        <v>1403</v>
      </c>
      <c r="CA52" s="179" t="s">
        <v>1269</v>
      </c>
      <c r="CB52" s="179" t="s">
        <v>1269</v>
      </c>
      <c r="CC52" s="179"/>
      <c r="CD52" s="179" t="s">
        <v>1269</v>
      </c>
      <c r="CE52" s="179" t="s">
        <v>1269</v>
      </c>
      <c r="CF52" s="179"/>
      <c r="CG52" s="230"/>
      <c r="CH52" s="504">
        <f t="shared" si="9"/>
        <v>0</v>
      </c>
      <c r="CI52" s="176" t="s">
        <v>1413</v>
      </c>
      <c r="CJ52" s="222">
        <v>0</v>
      </c>
      <c r="CK52" s="222">
        <v>0.6</v>
      </c>
      <c r="CL52" s="222">
        <v>0.61</v>
      </c>
      <c r="CM52" s="222">
        <v>0.8</v>
      </c>
      <c r="CN52" s="222">
        <v>0.81</v>
      </c>
      <c r="CO52" s="222">
        <v>1</v>
      </c>
      <c r="CP52" s="227"/>
      <c r="CQ52" s="223" t="str">
        <f t="shared" si="16"/>
        <v>OPERATIVO</v>
      </c>
      <c r="CR52" s="224">
        <f t="shared" si="17"/>
        <v>0.5</v>
      </c>
      <c r="CS52" s="225">
        <f>IFERROR(SUM($BI52:BI52)/SUM($AW52:AW52),0)</f>
        <v>0</v>
      </c>
      <c r="CT52" s="225">
        <f>IFERROR(SUM($BI52:BJ52)/SUM($AW52:AX52),0)</f>
        <v>0</v>
      </c>
      <c r="CU52" s="225">
        <f>IFERROR(SUM($BI52:BK52)/SUM($AW52:AY52),0)</f>
        <v>1</v>
      </c>
      <c r="CV52" s="225">
        <f>IFERROR(SUM($BI52:BL52)/SUM($AW52:AZ52),0)</f>
        <v>1</v>
      </c>
      <c r="CW52" s="225">
        <f>IFERROR(SUM($BI52:BM52)/SUM($AW52:BA52),0)</f>
        <v>1</v>
      </c>
      <c r="CX52" s="225">
        <f>IFERROR(SUM($BI52:BN52)/SUM($AW52:BB52),0)</f>
        <v>1</v>
      </c>
      <c r="CY52" s="225">
        <f>IFERROR(SUM($BI52:BO52)/SUM($AW52:BC52),0)</f>
        <v>1</v>
      </c>
      <c r="CZ52" s="225">
        <f>IFERROR(SUM($BI52:BP52)/SUM($AW52:BD52),0)</f>
        <v>1</v>
      </c>
      <c r="DA52" s="225">
        <f>IFERROR(SUM($BI52:BQ52)/SUM($AW52:BE52),0)</f>
        <v>0.66666666666666663</v>
      </c>
      <c r="DB52" s="225">
        <f>IFERROR(SUM($BI52:BR52)/SUM($AW52:BF52),0)</f>
        <v>0.66666666666666663</v>
      </c>
      <c r="DC52" s="225">
        <f>IFERROR(SUM($BI52:BS52)/SUM($AW52:BG52),0)</f>
        <v>0.66666666666666663</v>
      </c>
      <c r="DD52" s="225">
        <f>IFERROR(SUM($BI52:BT52)/SUM($AW52:BH52),0)</f>
        <v>0.5</v>
      </c>
      <c r="DE52" s="254" t="str">
        <f t="shared" si="10"/>
        <v>0</v>
      </c>
      <c r="DF52" s="255" t="str">
        <f>IFERROR(SUM($BI52:BJ52)/SUM($AW52:AX52),"0")</f>
        <v>0</v>
      </c>
      <c r="DG52" s="256">
        <f>IFERROR(SUM($BI52:BK52)/SUM($AW52:AY52),"0")</f>
        <v>1</v>
      </c>
      <c r="DH52" s="256">
        <f>IFERROR(SUM($BI52:BL52)/SUM($AW52:AZ52),"0")</f>
        <v>1</v>
      </c>
      <c r="DI52" s="256">
        <f>IFERROR(SUM($BI52:BM52)/SUM($AW52:BA52),"0")</f>
        <v>1</v>
      </c>
      <c r="DJ52" s="256">
        <f>IFERROR(SUM($BI52:BN52)/SUM($AW52:BB52),"0")</f>
        <v>1</v>
      </c>
      <c r="DK52" s="256">
        <f>IFERROR(SUM($BI52:BO52)/SUM($AW52:BC52),"0")</f>
        <v>1</v>
      </c>
      <c r="DL52" s="256">
        <f>IFERROR(SUM($BI52:BP52)/SUM($AW52:BD52),"0")</f>
        <v>1</v>
      </c>
      <c r="DM52" s="256">
        <f>IFERROR(SUM($BI52:BQ52)/SUM($AW52:BE52),"0")</f>
        <v>0.66666666666666663</v>
      </c>
      <c r="DN52" s="256">
        <f>IFERROR(SUM($BI52:BR52)/SUM($AW52:BF52),"0")</f>
        <v>0.66666666666666663</v>
      </c>
      <c r="DO52" s="256">
        <f>IFERROR(SUM($BI52:BS52)/SUM($AW52:BG52),"0")</f>
        <v>0.66666666666666663</v>
      </c>
      <c r="DP52" s="257">
        <f>IFERROR(SUM($BI52:BT52)/SUM($AW52:BH52),"0")</f>
        <v>0.5</v>
      </c>
    </row>
    <row r="53" spans="1:120" ht="39" customHeight="1" x14ac:dyDescent="0.25">
      <c r="A53" s="198" t="s">
        <v>730</v>
      </c>
      <c r="B53" s="161" t="s">
        <v>703</v>
      </c>
      <c r="C53" s="176" t="s">
        <v>731</v>
      </c>
      <c r="D53" s="161" t="s">
        <v>470</v>
      </c>
      <c r="E53" s="162" t="s">
        <v>443</v>
      </c>
      <c r="F53" s="163" t="s">
        <v>732</v>
      </c>
      <c r="G53" s="161" t="s">
        <v>703</v>
      </c>
      <c r="H53" s="164" t="s">
        <v>1255</v>
      </c>
      <c r="I53" s="183" t="s">
        <v>357</v>
      </c>
      <c r="J53" s="176" t="s">
        <v>721</v>
      </c>
      <c r="K53" s="161" t="s">
        <v>181</v>
      </c>
      <c r="L53" s="164" t="s">
        <v>448</v>
      </c>
      <c r="M53" s="164"/>
      <c r="N53" s="164"/>
      <c r="O53" s="164"/>
      <c r="P53" s="164" t="s">
        <v>733</v>
      </c>
      <c r="Q53" s="164" t="s">
        <v>734</v>
      </c>
      <c r="R53" s="164" t="s">
        <v>735</v>
      </c>
      <c r="S53" s="164" t="s">
        <v>736</v>
      </c>
      <c r="T53" s="164" t="s">
        <v>737</v>
      </c>
      <c r="U53" s="164" t="s">
        <v>738</v>
      </c>
      <c r="V53" s="164" t="s">
        <v>739</v>
      </c>
      <c r="W53" s="164" t="s">
        <v>739</v>
      </c>
      <c r="X53" s="186" t="s">
        <v>399</v>
      </c>
      <c r="Y53" s="164" t="s">
        <v>399</v>
      </c>
      <c r="Z53" s="166" t="s">
        <v>329</v>
      </c>
      <c r="AA53" s="164" t="s">
        <v>456</v>
      </c>
      <c r="AB53" s="176" t="s">
        <v>217</v>
      </c>
      <c r="AC53" s="164" t="s">
        <v>714</v>
      </c>
      <c r="AD53" s="164" t="s">
        <v>715</v>
      </c>
      <c r="AE53" s="164" t="s">
        <v>716</v>
      </c>
      <c r="AF53" s="164">
        <v>0</v>
      </c>
      <c r="AG53" s="187">
        <v>94</v>
      </c>
      <c r="AH53" s="430">
        <v>96</v>
      </c>
      <c r="AI53" s="305">
        <v>100</v>
      </c>
      <c r="AJ53" s="187">
        <v>96</v>
      </c>
      <c r="AK53" s="187"/>
      <c r="AL53" s="187">
        <v>0</v>
      </c>
      <c r="AM53" s="171">
        <v>98</v>
      </c>
      <c r="AN53" s="431">
        <v>97.51</v>
      </c>
      <c r="AO53" s="449">
        <v>100</v>
      </c>
      <c r="AP53" s="511">
        <v>57.81</v>
      </c>
      <c r="AQ53" s="191">
        <v>0</v>
      </c>
      <c r="AR53" s="221" t="str">
        <f t="shared" si="11"/>
        <v>0</v>
      </c>
      <c r="AS53" s="221">
        <f t="shared" si="13"/>
        <v>1.0425531914893618</v>
      </c>
      <c r="AT53" s="221">
        <f t="shared" si="12"/>
        <v>1</v>
      </c>
      <c r="AU53" s="221">
        <f t="shared" si="14"/>
        <v>0.60218749999999999</v>
      </c>
      <c r="AV53" s="221" t="str">
        <f t="shared" si="15"/>
        <v>0</v>
      </c>
      <c r="AW53" s="187">
        <v>0</v>
      </c>
      <c r="AX53" s="187">
        <v>0</v>
      </c>
      <c r="AY53" s="473">
        <v>0.27</v>
      </c>
      <c r="AZ53" s="187">
        <v>0</v>
      </c>
      <c r="BA53" s="187">
        <v>0</v>
      </c>
      <c r="BB53" s="473">
        <v>0.52</v>
      </c>
      <c r="BC53" s="187">
        <v>0</v>
      </c>
      <c r="BD53" s="187">
        <v>0</v>
      </c>
      <c r="BE53" s="473">
        <v>0.7</v>
      </c>
      <c r="BF53" s="187">
        <v>0</v>
      </c>
      <c r="BG53" s="187">
        <v>0</v>
      </c>
      <c r="BH53" s="473">
        <v>0.96</v>
      </c>
      <c r="BI53" s="461">
        <v>0</v>
      </c>
      <c r="BJ53" s="461">
        <v>0</v>
      </c>
      <c r="BK53" s="461">
        <v>0.3871</v>
      </c>
      <c r="BL53" s="461">
        <v>0</v>
      </c>
      <c r="BM53" s="461">
        <v>0</v>
      </c>
      <c r="BN53" s="509">
        <v>0.57809999999999995</v>
      </c>
      <c r="BO53" s="461">
        <v>0</v>
      </c>
      <c r="BP53" s="461">
        <v>0</v>
      </c>
      <c r="BQ53" s="461">
        <v>0</v>
      </c>
      <c r="BR53" s="461">
        <v>0</v>
      </c>
      <c r="BS53" s="461">
        <v>0</v>
      </c>
      <c r="BT53" s="461">
        <v>0</v>
      </c>
      <c r="BU53" s="179" t="s">
        <v>1269</v>
      </c>
      <c r="BV53" s="179" t="s">
        <v>1269</v>
      </c>
      <c r="BW53" s="164" t="s">
        <v>1298</v>
      </c>
      <c r="BX53" s="179" t="s">
        <v>1269</v>
      </c>
      <c r="BY53" s="179" t="s">
        <v>1269</v>
      </c>
      <c r="BZ53" s="179" t="s">
        <v>1404</v>
      </c>
      <c r="CA53" s="179" t="s">
        <v>1269</v>
      </c>
      <c r="CB53" s="179" t="s">
        <v>1269</v>
      </c>
      <c r="CC53" s="179"/>
      <c r="CD53" s="179" t="s">
        <v>1269</v>
      </c>
      <c r="CE53" s="179" t="s">
        <v>1269</v>
      </c>
      <c r="CF53" s="179"/>
      <c r="CG53" s="184"/>
      <c r="CH53" s="504">
        <f t="shared" si="9"/>
        <v>38.19</v>
      </c>
      <c r="CI53" s="176" t="s">
        <v>1413</v>
      </c>
      <c r="CJ53" s="222">
        <v>0</v>
      </c>
      <c r="CK53" s="222">
        <v>0.69</v>
      </c>
      <c r="CL53" s="222">
        <v>0.7</v>
      </c>
      <c r="CM53" s="222">
        <v>0.83</v>
      </c>
      <c r="CN53" s="222">
        <v>0.84</v>
      </c>
      <c r="CO53" s="222">
        <v>0.94</v>
      </c>
      <c r="CP53" s="227"/>
      <c r="CQ53" s="223" t="str">
        <f t="shared" si="16"/>
        <v>OPERATIVO</v>
      </c>
      <c r="CR53" s="224">
        <f t="shared" si="17"/>
        <v>0.39395918367346933</v>
      </c>
      <c r="CS53" s="225">
        <f>IFERROR(SUM($BI53:BI53)/SUM($AW53:AW53),0)</f>
        <v>0</v>
      </c>
      <c r="CT53" s="225">
        <f>IFERROR(SUM($BI53:BJ53)/SUM($AW53:AX53),0)</f>
        <v>0</v>
      </c>
      <c r="CU53" s="225">
        <f>IFERROR(SUM($BI53:BK53)/SUM($AW53:AY53),0)</f>
        <v>1.4337037037037037</v>
      </c>
      <c r="CV53" s="225">
        <f>IFERROR(SUM($BI53:BL53)/SUM($AW53:AZ53),0)</f>
        <v>1.4337037037037037</v>
      </c>
      <c r="CW53" s="225">
        <f>IFERROR(SUM($BI53:BM53)/SUM($AW53:BA53),0)</f>
        <v>1.4337037037037037</v>
      </c>
      <c r="CX53" s="225">
        <f>IFERROR(SUM($BI53:BN53)/SUM($AW53:BB53),0)</f>
        <v>1.2217721518987341</v>
      </c>
      <c r="CY53" s="225">
        <f>IFERROR(SUM($BI53:BO53)/SUM($AW53:BC53),0)</f>
        <v>1.2217721518987341</v>
      </c>
      <c r="CZ53" s="225">
        <f>IFERROR(SUM($BI53:BP53)/SUM($AW53:BD53),0)</f>
        <v>1.2217721518987341</v>
      </c>
      <c r="DA53" s="225">
        <f>IFERROR(SUM($BI53:BQ53)/SUM($AW53:BE53),0)</f>
        <v>0.64778523489932882</v>
      </c>
      <c r="DB53" s="225">
        <f>IFERROR(SUM($BI53:BR53)/SUM($AW53:BF53),0)</f>
        <v>0.64778523489932882</v>
      </c>
      <c r="DC53" s="225">
        <f>IFERROR(SUM($BI53:BS53)/SUM($AW53:BG53),0)</f>
        <v>0.64778523489932882</v>
      </c>
      <c r="DD53" s="225">
        <f>IFERROR(SUM($BI53:BT53)/SUM($AW53:BH53),0)</f>
        <v>0.39395918367346933</v>
      </c>
      <c r="DE53" s="250" t="str">
        <f t="shared" si="10"/>
        <v>0</v>
      </c>
      <c r="DF53" s="251" t="str">
        <f>IFERROR(SUM($BI53:BJ53)/SUM($AW53:AX53),"0")</f>
        <v>0</v>
      </c>
      <c r="DG53" s="252">
        <f>IFERROR(SUM($BI53:BK53)/SUM($AW53:AY53),"0")</f>
        <v>1.4337037037037037</v>
      </c>
      <c r="DH53" s="252">
        <f>IFERROR(SUM($BI53:BL53)/SUM($AW53:AZ53),"0")</f>
        <v>1.4337037037037037</v>
      </c>
      <c r="DI53" s="252">
        <f>IFERROR(SUM($BI53:BM53)/SUM($AW53:BA53),"0")</f>
        <v>1.4337037037037037</v>
      </c>
      <c r="DJ53" s="252">
        <f>IFERROR(SUM($BI53:BN53)/SUM($AW53:BB53),"0")</f>
        <v>1.2217721518987341</v>
      </c>
      <c r="DK53" s="252">
        <f>IFERROR(SUM($BI53:BO53)/SUM($AW53:BC53),"0")</f>
        <v>1.2217721518987341</v>
      </c>
      <c r="DL53" s="252">
        <f>IFERROR(SUM($BI53:BP53)/SUM($AW53:BD53),"0")</f>
        <v>1.2217721518987341</v>
      </c>
      <c r="DM53" s="252">
        <f>IFERROR(SUM($BI53:BQ53)/SUM($AW53:BE53),"0")</f>
        <v>0.64778523489932882</v>
      </c>
      <c r="DN53" s="252">
        <f>IFERROR(SUM($BI53:BR53)/SUM($AW53:BF53),"0")</f>
        <v>0.64778523489932882</v>
      </c>
      <c r="DO53" s="252">
        <f>IFERROR(SUM($BI53:BS53)/SUM($AW53:BG53),"0")</f>
        <v>0.64778523489932882</v>
      </c>
      <c r="DP53" s="253">
        <f>IFERROR(SUM($BI53:BT53)/SUM($AW53:BH53),"0")</f>
        <v>0.39395918367346933</v>
      </c>
    </row>
    <row r="54" spans="1:120" ht="39" customHeight="1" x14ac:dyDescent="0.25">
      <c r="A54" s="198" t="s">
        <v>740</v>
      </c>
      <c r="B54" s="161" t="s">
        <v>703</v>
      </c>
      <c r="C54" s="176" t="s">
        <v>741</v>
      </c>
      <c r="D54" s="161" t="s">
        <v>470</v>
      </c>
      <c r="E54" s="162" t="s">
        <v>443</v>
      </c>
      <c r="F54" s="163" t="s">
        <v>742</v>
      </c>
      <c r="G54" s="161" t="s">
        <v>703</v>
      </c>
      <c r="H54" s="164" t="s">
        <v>1191</v>
      </c>
      <c r="I54" s="166" t="s">
        <v>357</v>
      </c>
      <c r="J54" s="164" t="s">
        <v>743</v>
      </c>
      <c r="K54" s="161" t="s">
        <v>181</v>
      </c>
      <c r="L54" s="164" t="s">
        <v>406</v>
      </c>
      <c r="M54" s="164" t="s">
        <v>448</v>
      </c>
      <c r="N54" s="164"/>
      <c r="O54" s="164"/>
      <c r="P54" s="164" t="s">
        <v>744</v>
      </c>
      <c r="Q54" s="164" t="s">
        <v>745</v>
      </c>
      <c r="R54" s="164" t="s">
        <v>746</v>
      </c>
      <c r="S54" s="164" t="s">
        <v>747</v>
      </c>
      <c r="T54" s="164" t="s">
        <v>748</v>
      </c>
      <c r="U54" s="164" t="s">
        <v>749</v>
      </c>
      <c r="V54" s="164" t="s">
        <v>750</v>
      </c>
      <c r="W54" s="164" t="s">
        <v>750</v>
      </c>
      <c r="X54" s="185" t="s">
        <v>399</v>
      </c>
      <c r="Y54" s="166" t="s">
        <v>399</v>
      </c>
      <c r="Z54" s="166" t="s">
        <v>193</v>
      </c>
      <c r="AA54" s="166" t="s">
        <v>456</v>
      </c>
      <c r="AB54" s="354" t="s">
        <v>1109</v>
      </c>
      <c r="AC54" s="164" t="s">
        <v>714</v>
      </c>
      <c r="AD54" s="164" t="s">
        <v>715</v>
      </c>
      <c r="AE54" s="164" t="s">
        <v>716</v>
      </c>
      <c r="AF54" s="164">
        <v>0</v>
      </c>
      <c r="AG54" s="172">
        <v>100</v>
      </c>
      <c r="AH54" s="437">
        <v>100</v>
      </c>
      <c r="AI54" s="305">
        <v>100</v>
      </c>
      <c r="AJ54" s="173">
        <v>100</v>
      </c>
      <c r="AK54" s="173">
        <v>100</v>
      </c>
      <c r="AL54" s="172">
        <v>0</v>
      </c>
      <c r="AM54" s="171">
        <v>100</v>
      </c>
      <c r="AN54" s="428">
        <v>100</v>
      </c>
      <c r="AO54" s="432">
        <v>100</v>
      </c>
      <c r="AP54" s="512">
        <v>100</v>
      </c>
      <c r="AQ54" s="191">
        <v>0</v>
      </c>
      <c r="AR54" s="221" t="str">
        <f t="shared" si="11"/>
        <v>0</v>
      </c>
      <c r="AS54" s="221">
        <f t="shared" si="13"/>
        <v>1</v>
      </c>
      <c r="AT54" s="221">
        <f t="shared" si="12"/>
        <v>1</v>
      </c>
      <c r="AU54" s="221">
        <f t="shared" si="14"/>
        <v>1</v>
      </c>
      <c r="AV54" s="221">
        <f t="shared" si="15"/>
        <v>0</v>
      </c>
      <c r="AW54" s="187">
        <v>0</v>
      </c>
      <c r="AX54" s="187">
        <v>0</v>
      </c>
      <c r="AY54" s="473">
        <v>1</v>
      </c>
      <c r="AZ54" s="187">
        <v>0</v>
      </c>
      <c r="BA54" s="187">
        <v>0</v>
      </c>
      <c r="BB54" s="473">
        <v>1</v>
      </c>
      <c r="BC54" s="187">
        <v>0</v>
      </c>
      <c r="BD54" s="187">
        <v>0</v>
      </c>
      <c r="BE54" s="473">
        <v>1</v>
      </c>
      <c r="BF54" s="187">
        <v>0</v>
      </c>
      <c r="BG54" s="187">
        <v>0</v>
      </c>
      <c r="BH54" s="461">
        <v>1</v>
      </c>
      <c r="BI54" s="461">
        <v>0</v>
      </c>
      <c r="BJ54" s="461">
        <v>0</v>
      </c>
      <c r="BK54" s="461">
        <v>1</v>
      </c>
      <c r="BL54" s="461">
        <v>0</v>
      </c>
      <c r="BM54" s="461">
        <v>0</v>
      </c>
      <c r="BN54" s="509">
        <v>1</v>
      </c>
      <c r="BO54" s="461">
        <v>0</v>
      </c>
      <c r="BP54" s="461">
        <v>0</v>
      </c>
      <c r="BQ54" s="461">
        <v>0</v>
      </c>
      <c r="BR54" s="461">
        <v>0</v>
      </c>
      <c r="BS54" s="461">
        <v>0</v>
      </c>
      <c r="BT54" s="461">
        <v>0</v>
      </c>
      <c r="BU54" s="179" t="s">
        <v>1269</v>
      </c>
      <c r="BV54" s="179" t="s">
        <v>1269</v>
      </c>
      <c r="BW54" s="164" t="s">
        <v>1299</v>
      </c>
      <c r="BX54" s="179" t="s">
        <v>1269</v>
      </c>
      <c r="BY54" s="179" t="s">
        <v>1269</v>
      </c>
      <c r="BZ54" s="179" t="s">
        <v>1405</v>
      </c>
      <c r="CA54" s="179" t="s">
        <v>1269</v>
      </c>
      <c r="CB54" s="179" t="s">
        <v>1269</v>
      </c>
      <c r="CC54" s="179"/>
      <c r="CD54" s="179" t="s">
        <v>1269</v>
      </c>
      <c r="CE54" s="179" t="s">
        <v>1269</v>
      </c>
      <c r="CF54" s="179"/>
      <c r="CG54" s="184"/>
      <c r="CH54" s="504">
        <f t="shared" si="9"/>
        <v>0</v>
      </c>
      <c r="CI54" s="176" t="s">
        <v>1413</v>
      </c>
      <c r="CJ54" s="222">
        <v>0</v>
      </c>
      <c r="CK54" s="222">
        <v>0.59</v>
      </c>
      <c r="CL54" s="222">
        <v>0.6</v>
      </c>
      <c r="CM54" s="222">
        <v>0.94</v>
      </c>
      <c r="CN54" s="222">
        <v>0.95</v>
      </c>
      <c r="CO54" s="222">
        <v>1</v>
      </c>
      <c r="CP54" s="204" t="s">
        <v>1256</v>
      </c>
      <c r="CQ54" s="223" t="str">
        <f t="shared" si="16"/>
        <v>OPERATIVO</v>
      </c>
      <c r="CR54" s="224">
        <f t="shared" si="17"/>
        <v>0.5</v>
      </c>
      <c r="CS54" s="225">
        <f>IFERROR(SUM($BI54:BI54)/SUM($AW54:AW54),0)</f>
        <v>0</v>
      </c>
      <c r="CT54" s="225">
        <f>IFERROR(SUM($BI54:BJ54)/SUM($AW54:AX54),0)</f>
        <v>0</v>
      </c>
      <c r="CU54" s="225">
        <f>IFERROR(SUM($BI54:BK54)/SUM($AW54:AY54),0)</f>
        <v>1</v>
      </c>
      <c r="CV54" s="225">
        <f>IFERROR(SUM($BI54:BL54)/SUM($AW54:AZ54),0)</f>
        <v>1</v>
      </c>
      <c r="CW54" s="225">
        <f>IFERROR(SUM($BI54:BM54)/SUM($AW54:BA54),0)</f>
        <v>1</v>
      </c>
      <c r="CX54" s="225">
        <f>IFERROR(SUM($BI54:BN54)/SUM($AW54:BB54),0)</f>
        <v>1</v>
      </c>
      <c r="CY54" s="225">
        <f>IFERROR(SUM($BI54:BO54)/SUM($AW54:BC54),0)</f>
        <v>1</v>
      </c>
      <c r="CZ54" s="225">
        <f>IFERROR(SUM($BI54:BP54)/SUM($AW54:BD54),0)</f>
        <v>1</v>
      </c>
      <c r="DA54" s="225">
        <f>IFERROR(SUM($BI54:BQ54)/SUM($AW54:BE54),0)</f>
        <v>0.66666666666666663</v>
      </c>
      <c r="DB54" s="225">
        <f>IFERROR(SUM($BI54:BR54)/SUM($AW54:BF54),0)</f>
        <v>0.66666666666666663</v>
      </c>
      <c r="DC54" s="225">
        <f>IFERROR(SUM($BI54:BS54)/SUM($AW54:BG54),0)</f>
        <v>0.66666666666666663</v>
      </c>
      <c r="DD54" s="225">
        <f>IFERROR(SUM($BI54:BT54)/SUM($AW54:BH54),0)</f>
        <v>0.5</v>
      </c>
      <c r="DE54" s="250" t="str">
        <f t="shared" si="10"/>
        <v>0</v>
      </c>
      <c r="DF54" s="251" t="str">
        <f>IFERROR(SUM($BI54:BJ54)/SUM($AW54:AX54),"0")</f>
        <v>0</v>
      </c>
      <c r="DG54" s="252">
        <f>IFERROR(SUM($BI54:BK54)/SUM($AW54:AY54),"0")</f>
        <v>1</v>
      </c>
      <c r="DH54" s="252">
        <f>IFERROR(SUM($BI54:BL54)/SUM($AW54:AZ54),"0")</f>
        <v>1</v>
      </c>
      <c r="DI54" s="252">
        <f>IFERROR(SUM($BI54:BM54)/SUM($AW54:BA54),"0")</f>
        <v>1</v>
      </c>
      <c r="DJ54" s="252">
        <f>IFERROR(SUM($BI54:BN54)/SUM($AW54:BB54),"0")</f>
        <v>1</v>
      </c>
      <c r="DK54" s="252">
        <f>IFERROR(SUM($BI54:BO54)/SUM($AW54:BC54),"0")</f>
        <v>1</v>
      </c>
      <c r="DL54" s="252">
        <f>IFERROR(SUM($BI54:BP54)/SUM($AW54:BD54),"0")</f>
        <v>1</v>
      </c>
      <c r="DM54" s="252">
        <f>IFERROR(SUM($BI54:BQ54)/SUM($AW54:BE54),"0")</f>
        <v>0.66666666666666663</v>
      </c>
      <c r="DN54" s="252">
        <f>IFERROR(SUM($BI54:BR54)/SUM($AW54:BF54),"0")</f>
        <v>0.66666666666666663</v>
      </c>
      <c r="DO54" s="252">
        <f>IFERROR(SUM($BI54:BS54)/SUM($AW54:BG54),"0")</f>
        <v>0.66666666666666663</v>
      </c>
      <c r="DP54" s="253">
        <f>IFERROR(SUM($BI54:BT54)/SUM($AW54:BH54),"0")</f>
        <v>0.5</v>
      </c>
    </row>
    <row r="55" spans="1:120" ht="39" customHeight="1" x14ac:dyDescent="0.25">
      <c r="A55" s="198" t="s">
        <v>751</v>
      </c>
      <c r="B55" s="161" t="s">
        <v>703</v>
      </c>
      <c r="C55" s="176" t="s">
        <v>752</v>
      </c>
      <c r="D55" s="161" t="s">
        <v>470</v>
      </c>
      <c r="E55" s="162" t="s">
        <v>443</v>
      </c>
      <c r="F55" s="163" t="s">
        <v>753</v>
      </c>
      <c r="G55" s="161" t="s">
        <v>703</v>
      </c>
      <c r="H55" s="164" t="s">
        <v>1192</v>
      </c>
      <c r="I55" s="166" t="s">
        <v>357</v>
      </c>
      <c r="J55" s="176" t="s">
        <v>754</v>
      </c>
      <c r="K55" s="161" t="s">
        <v>181</v>
      </c>
      <c r="L55" s="164" t="s">
        <v>448</v>
      </c>
      <c r="M55" s="164" t="s">
        <v>406</v>
      </c>
      <c r="N55" s="164"/>
      <c r="O55" s="164"/>
      <c r="P55" s="164" t="s">
        <v>755</v>
      </c>
      <c r="Q55" s="164" t="s">
        <v>756</v>
      </c>
      <c r="R55" s="164" t="s">
        <v>757</v>
      </c>
      <c r="S55" s="164" t="s">
        <v>758</v>
      </c>
      <c r="T55" s="164" t="s">
        <v>759</v>
      </c>
      <c r="U55" s="164" t="s">
        <v>760</v>
      </c>
      <c r="V55" s="164" t="s">
        <v>761</v>
      </c>
      <c r="W55" s="164" t="s">
        <v>761</v>
      </c>
      <c r="X55" s="186" t="s">
        <v>399</v>
      </c>
      <c r="Y55" s="164" t="s">
        <v>399</v>
      </c>
      <c r="Z55" s="166" t="s">
        <v>193</v>
      </c>
      <c r="AA55" s="164" t="s">
        <v>456</v>
      </c>
      <c r="AB55" s="176" t="s">
        <v>217</v>
      </c>
      <c r="AC55" s="164" t="s">
        <v>714</v>
      </c>
      <c r="AD55" s="164" t="s">
        <v>715</v>
      </c>
      <c r="AE55" s="164" t="s">
        <v>716</v>
      </c>
      <c r="AF55" s="164">
        <v>0</v>
      </c>
      <c r="AG55" s="173">
        <v>0</v>
      </c>
      <c r="AH55" s="441">
        <v>90</v>
      </c>
      <c r="AI55" s="305">
        <v>100</v>
      </c>
      <c r="AJ55" s="173">
        <v>100</v>
      </c>
      <c r="AK55" s="173">
        <v>100</v>
      </c>
      <c r="AL55" s="173">
        <v>0</v>
      </c>
      <c r="AM55" s="171">
        <v>0</v>
      </c>
      <c r="AN55" s="440">
        <v>98</v>
      </c>
      <c r="AO55" s="432">
        <v>100</v>
      </c>
      <c r="AP55" s="512">
        <v>15</v>
      </c>
      <c r="AQ55" s="191">
        <v>0</v>
      </c>
      <c r="AR55" s="221" t="str">
        <f t="shared" si="11"/>
        <v>0</v>
      </c>
      <c r="AS55" s="221" t="str">
        <f t="shared" si="13"/>
        <v>0</v>
      </c>
      <c r="AT55" s="221">
        <f t="shared" si="12"/>
        <v>1</v>
      </c>
      <c r="AU55" s="221">
        <f t="shared" si="14"/>
        <v>0.15</v>
      </c>
      <c r="AV55" s="221">
        <f t="shared" si="15"/>
        <v>0</v>
      </c>
      <c r="AW55" s="187">
        <v>0</v>
      </c>
      <c r="AX55" s="187">
        <v>0</v>
      </c>
      <c r="AY55" s="473">
        <v>0.06</v>
      </c>
      <c r="AZ55" s="187">
        <v>0</v>
      </c>
      <c r="BA55" s="187">
        <v>0</v>
      </c>
      <c r="BB55" s="473">
        <v>0.09</v>
      </c>
      <c r="BC55" s="187">
        <v>0</v>
      </c>
      <c r="BD55" s="187">
        <v>0</v>
      </c>
      <c r="BE55" s="473">
        <v>0.06</v>
      </c>
      <c r="BF55" s="187">
        <v>0</v>
      </c>
      <c r="BG55" s="187">
        <v>0</v>
      </c>
      <c r="BH55" s="473">
        <v>0.79</v>
      </c>
      <c r="BI55" s="465">
        <v>0</v>
      </c>
      <c r="BJ55" s="465">
        <v>0</v>
      </c>
      <c r="BK55" s="465">
        <v>0.06</v>
      </c>
      <c r="BL55" s="465">
        <v>0</v>
      </c>
      <c r="BM55" s="465">
        <v>0</v>
      </c>
      <c r="BN55" s="510">
        <v>0.09</v>
      </c>
      <c r="BO55" s="465">
        <v>0</v>
      </c>
      <c r="BP55" s="465">
        <v>0</v>
      </c>
      <c r="BQ55" s="465">
        <v>0</v>
      </c>
      <c r="BR55" s="465">
        <v>0</v>
      </c>
      <c r="BS55" s="465">
        <v>0</v>
      </c>
      <c r="BT55" s="465">
        <v>0</v>
      </c>
      <c r="BU55" s="179" t="s">
        <v>1269</v>
      </c>
      <c r="BV55" s="179" t="s">
        <v>1269</v>
      </c>
      <c r="BW55" s="164" t="s">
        <v>1300</v>
      </c>
      <c r="BX55" s="179" t="s">
        <v>1269</v>
      </c>
      <c r="BY55" s="179" t="s">
        <v>1269</v>
      </c>
      <c r="BZ55" s="179" t="s">
        <v>1406</v>
      </c>
      <c r="CA55" s="179" t="s">
        <v>1269</v>
      </c>
      <c r="CB55" s="179" t="s">
        <v>1269</v>
      </c>
      <c r="CC55" s="179"/>
      <c r="CD55" s="179" t="s">
        <v>1269</v>
      </c>
      <c r="CE55" s="179" t="s">
        <v>1269</v>
      </c>
      <c r="CF55" s="179"/>
      <c r="CG55" s="230"/>
      <c r="CH55" s="504">
        <f t="shared" si="9"/>
        <v>85</v>
      </c>
      <c r="CI55" s="176" t="s">
        <v>1413</v>
      </c>
      <c r="CJ55" s="222">
        <v>0</v>
      </c>
      <c r="CK55" s="222">
        <v>0.49</v>
      </c>
      <c r="CL55" s="222">
        <v>0.5</v>
      </c>
      <c r="CM55" s="222">
        <v>0.74</v>
      </c>
      <c r="CN55" s="222">
        <v>0.75</v>
      </c>
      <c r="CO55" s="222">
        <v>1</v>
      </c>
      <c r="CP55" s="227"/>
      <c r="CQ55" s="223" t="str">
        <f t="shared" si="16"/>
        <v>OPERATIVO</v>
      </c>
      <c r="CR55" s="224">
        <f t="shared" si="17"/>
        <v>0.15</v>
      </c>
      <c r="CS55" s="225">
        <f>IFERROR(SUM($BI55:BI55)/SUM($AW55:AW55),0)</f>
        <v>0</v>
      </c>
      <c r="CT55" s="225">
        <f>IFERROR(SUM($BI55:BJ55)/SUM($AW55:AX55),0)</f>
        <v>0</v>
      </c>
      <c r="CU55" s="225">
        <f>IFERROR(SUM($BI55:BK55)/SUM($AW55:AY55),0)</f>
        <v>1</v>
      </c>
      <c r="CV55" s="225">
        <f>IFERROR(SUM($BI55:BL55)/SUM($AW55:AZ55),0)</f>
        <v>1</v>
      </c>
      <c r="CW55" s="225">
        <f>IFERROR(SUM($BI55:BM55)/SUM($AW55:BA55),0)</f>
        <v>1</v>
      </c>
      <c r="CX55" s="225">
        <f>IFERROR(SUM($BI55:BN55)/SUM($AW55:BB55),0)</f>
        <v>1</v>
      </c>
      <c r="CY55" s="225">
        <f>IFERROR(SUM($BI55:BO55)/SUM($AW55:BC55),0)</f>
        <v>1</v>
      </c>
      <c r="CZ55" s="225">
        <f>IFERROR(SUM($BI55:BP55)/SUM($AW55:BD55),0)</f>
        <v>1</v>
      </c>
      <c r="DA55" s="225">
        <f>IFERROR(SUM($BI55:BQ55)/SUM($AW55:BE55),0)</f>
        <v>0.7142857142857143</v>
      </c>
      <c r="DB55" s="225">
        <f>IFERROR(SUM($BI55:BR55)/SUM($AW55:BF55),0)</f>
        <v>0.7142857142857143</v>
      </c>
      <c r="DC55" s="225">
        <f>IFERROR(SUM($BI55:BS55)/SUM($AW55:BG55),0)</f>
        <v>0.7142857142857143</v>
      </c>
      <c r="DD55" s="225">
        <f>IFERROR(SUM($BI55:BT55)/SUM($AW55:BH55),0)</f>
        <v>0.15</v>
      </c>
      <c r="DE55" s="250" t="str">
        <f t="shared" si="10"/>
        <v>0</v>
      </c>
      <c r="DF55" s="251" t="str">
        <f>IFERROR(SUM($BI55:BJ55)/SUM($AW55:AX55),"0")</f>
        <v>0</v>
      </c>
      <c r="DG55" s="252">
        <f>IFERROR(SUM($BI55:BK55)/SUM($AW55:AY55),"0")</f>
        <v>1</v>
      </c>
      <c r="DH55" s="252">
        <f>IFERROR(SUM($BI55:BL55)/SUM($AW55:AZ55),"0")</f>
        <v>1</v>
      </c>
      <c r="DI55" s="252">
        <f>IFERROR(SUM($BI55:BM55)/SUM($AW55:BA55),"0")</f>
        <v>1</v>
      </c>
      <c r="DJ55" s="252">
        <f>IFERROR(SUM($BI55:BN55)/SUM($AW55:BB55),"0")</f>
        <v>1</v>
      </c>
      <c r="DK55" s="252">
        <f>IFERROR(SUM($BI55:BO55)/SUM($AW55:BC55),"0")</f>
        <v>1</v>
      </c>
      <c r="DL55" s="252">
        <f>IFERROR(SUM($BI55:BP55)/SUM($AW55:BD55),"0")</f>
        <v>1</v>
      </c>
      <c r="DM55" s="252">
        <f>IFERROR(SUM($BI55:BQ55)/SUM($AW55:BE55),"0")</f>
        <v>0.7142857142857143</v>
      </c>
      <c r="DN55" s="252">
        <f>IFERROR(SUM($BI55:BR55)/SUM($AW55:BF55),"0")</f>
        <v>0.7142857142857143</v>
      </c>
      <c r="DO55" s="252">
        <f>IFERROR(SUM($BI55:BS55)/SUM($AW55:BG55),"0")</f>
        <v>0.7142857142857143</v>
      </c>
      <c r="DP55" s="253">
        <f>IFERROR(SUM($BI55:BT55)/SUM($AW55:BH55),"0")</f>
        <v>0.15</v>
      </c>
    </row>
    <row r="56" spans="1:120" ht="39" customHeight="1" x14ac:dyDescent="0.25">
      <c r="A56" s="198" t="s">
        <v>762</v>
      </c>
      <c r="B56" s="161" t="s">
        <v>703</v>
      </c>
      <c r="C56" s="176" t="s">
        <v>763</v>
      </c>
      <c r="D56" s="161" t="s">
        <v>319</v>
      </c>
      <c r="E56" s="162" t="s">
        <v>443</v>
      </c>
      <c r="F56" s="503" t="s">
        <v>1301</v>
      </c>
      <c r="G56" s="161" t="s">
        <v>703</v>
      </c>
      <c r="H56" s="164" t="s">
        <v>1193</v>
      </c>
      <c r="I56" s="183" t="s">
        <v>357</v>
      </c>
      <c r="J56" s="176" t="s">
        <v>765</v>
      </c>
      <c r="K56" s="161" t="s">
        <v>181</v>
      </c>
      <c r="L56" s="164" t="s">
        <v>448</v>
      </c>
      <c r="M56" s="164" t="s">
        <v>406</v>
      </c>
      <c r="N56" s="164"/>
      <c r="O56" s="164"/>
      <c r="P56" s="164" t="s">
        <v>1257</v>
      </c>
      <c r="Q56" s="164" t="s">
        <v>766</v>
      </c>
      <c r="R56" s="164" t="s">
        <v>767</v>
      </c>
      <c r="S56" s="176" t="s">
        <v>768</v>
      </c>
      <c r="T56" s="164" t="s">
        <v>769</v>
      </c>
      <c r="U56" s="164" t="s">
        <v>770</v>
      </c>
      <c r="V56" s="164" t="s">
        <v>771</v>
      </c>
      <c r="W56" s="164" t="s">
        <v>772</v>
      </c>
      <c r="X56" s="178" t="s">
        <v>399</v>
      </c>
      <c r="Y56" s="164" t="s">
        <v>399</v>
      </c>
      <c r="Z56" s="166" t="s">
        <v>193</v>
      </c>
      <c r="AA56" s="164" t="s">
        <v>65</v>
      </c>
      <c r="AB56" s="176" t="s">
        <v>217</v>
      </c>
      <c r="AC56" s="164" t="s">
        <v>714</v>
      </c>
      <c r="AD56" s="164" t="s">
        <v>715</v>
      </c>
      <c r="AE56" s="164" t="s">
        <v>716</v>
      </c>
      <c r="AF56" s="164">
        <v>0</v>
      </c>
      <c r="AG56" s="173">
        <v>0</v>
      </c>
      <c r="AH56" s="442">
        <v>100</v>
      </c>
      <c r="AI56" s="305">
        <v>100</v>
      </c>
      <c r="AJ56" s="173">
        <v>100</v>
      </c>
      <c r="AK56" s="173">
        <v>100</v>
      </c>
      <c r="AL56" s="173">
        <v>0</v>
      </c>
      <c r="AM56" s="171">
        <v>0</v>
      </c>
      <c r="AN56" s="440">
        <v>97</v>
      </c>
      <c r="AO56" s="434">
        <v>97</v>
      </c>
      <c r="AP56" s="512">
        <v>50</v>
      </c>
      <c r="AQ56" s="191">
        <v>0</v>
      </c>
      <c r="AR56" s="221" t="str">
        <f t="shared" si="11"/>
        <v>0</v>
      </c>
      <c r="AS56" s="221" t="str">
        <f t="shared" si="13"/>
        <v>0</v>
      </c>
      <c r="AT56" s="221">
        <f t="shared" si="12"/>
        <v>0.97</v>
      </c>
      <c r="AU56" s="221">
        <f t="shared" si="14"/>
        <v>0.5</v>
      </c>
      <c r="AV56" s="221">
        <f t="shared" si="15"/>
        <v>0</v>
      </c>
      <c r="AW56" s="187">
        <v>0</v>
      </c>
      <c r="AX56" s="187">
        <v>0</v>
      </c>
      <c r="AY56" s="187">
        <v>0</v>
      </c>
      <c r="AZ56" s="187">
        <v>0</v>
      </c>
      <c r="BA56" s="187">
        <v>0</v>
      </c>
      <c r="BB56" s="522">
        <v>0.5</v>
      </c>
      <c r="BC56" s="187">
        <v>0</v>
      </c>
      <c r="BD56" s="187">
        <v>0</v>
      </c>
      <c r="BE56" s="522">
        <v>0.5</v>
      </c>
      <c r="BF56" s="187">
        <v>0</v>
      </c>
      <c r="BG56" s="187">
        <v>0</v>
      </c>
      <c r="BH56" s="187">
        <v>0</v>
      </c>
      <c r="BI56" s="466">
        <v>0</v>
      </c>
      <c r="BJ56" s="466">
        <v>0</v>
      </c>
      <c r="BK56" s="466">
        <v>0</v>
      </c>
      <c r="BL56" s="466">
        <v>0</v>
      </c>
      <c r="BM56" s="466">
        <v>0</v>
      </c>
      <c r="BN56" s="510">
        <v>0.5</v>
      </c>
      <c r="BO56" s="466">
        <v>0</v>
      </c>
      <c r="BP56" s="466">
        <v>0</v>
      </c>
      <c r="BQ56" s="466">
        <v>0</v>
      </c>
      <c r="BR56" s="466">
        <v>0</v>
      </c>
      <c r="BS56" s="466">
        <v>0</v>
      </c>
      <c r="BT56" s="466">
        <v>0</v>
      </c>
      <c r="BU56" s="179" t="s">
        <v>1269</v>
      </c>
      <c r="BV56" s="179" t="s">
        <v>1269</v>
      </c>
      <c r="BW56" s="164" t="s">
        <v>1302</v>
      </c>
      <c r="BX56" s="179" t="s">
        <v>1269</v>
      </c>
      <c r="BY56" s="179" t="s">
        <v>1269</v>
      </c>
      <c r="BZ56" s="179" t="s">
        <v>1407</v>
      </c>
      <c r="CA56" s="179" t="s">
        <v>1269</v>
      </c>
      <c r="CB56" s="179" t="s">
        <v>1269</v>
      </c>
      <c r="CC56" s="179"/>
      <c r="CD56" s="179" t="s">
        <v>1269</v>
      </c>
      <c r="CE56" s="179" t="s">
        <v>1269</v>
      </c>
      <c r="CF56" s="179"/>
      <c r="CG56" s="184"/>
      <c r="CH56" s="504">
        <f t="shared" si="9"/>
        <v>50</v>
      </c>
      <c r="CI56" s="176" t="s">
        <v>1413</v>
      </c>
      <c r="CJ56" s="222">
        <v>0</v>
      </c>
      <c r="CK56" s="222">
        <v>0.49</v>
      </c>
      <c r="CL56" s="222">
        <v>0.5</v>
      </c>
      <c r="CM56" s="222">
        <v>0.74</v>
      </c>
      <c r="CN56" s="222">
        <v>0.75</v>
      </c>
      <c r="CO56" s="222">
        <v>1</v>
      </c>
      <c r="CP56" s="227"/>
      <c r="CQ56" s="223" t="str">
        <f t="shared" si="16"/>
        <v>TÁCTICO</v>
      </c>
      <c r="CR56" s="224">
        <f t="shared" si="17"/>
        <v>0.5</v>
      </c>
      <c r="CS56" s="225">
        <f>IFERROR(SUM($BI56:BI56)/SUM($AW56:AW56),0)</f>
        <v>0</v>
      </c>
      <c r="CT56" s="225">
        <f>IFERROR(SUM($BI56:BJ56)/SUM($AW56:AX56),0)</f>
        <v>0</v>
      </c>
      <c r="CU56" s="225">
        <f>IFERROR(SUM($BI56:BK56)/SUM($AW56:AY56),0)</f>
        <v>0</v>
      </c>
      <c r="CV56" s="225">
        <f>IFERROR(SUM($BI56:BL56)/SUM($AW56:AZ56),0)</f>
        <v>0</v>
      </c>
      <c r="CW56" s="225">
        <f>IFERROR(SUM($BI56:BM56)/SUM($AW56:BA56),0)</f>
        <v>0</v>
      </c>
      <c r="CX56" s="225">
        <f>IFERROR(SUM($BI56:BN56)/SUM($AW56:BB56),0)</f>
        <v>1</v>
      </c>
      <c r="CY56" s="225">
        <f>IFERROR(SUM($BI56:BO56)/SUM($AW56:BC56),0)</f>
        <v>1</v>
      </c>
      <c r="CZ56" s="225">
        <f>IFERROR(SUM($BI56:BP56)/SUM($AW56:BD56),0)</f>
        <v>1</v>
      </c>
      <c r="DA56" s="225">
        <f>IFERROR(SUM($BI56:BQ56)/SUM($AW56:BE56),0)</f>
        <v>0.5</v>
      </c>
      <c r="DB56" s="225">
        <f>IFERROR(SUM($BI56:BR56)/SUM($AW56:BF56),0)</f>
        <v>0.5</v>
      </c>
      <c r="DC56" s="225">
        <f>IFERROR(SUM($BI56:BS56)/SUM($AW56:BG56),0)</f>
        <v>0.5</v>
      </c>
      <c r="DD56" s="225">
        <f>IFERROR(SUM($BI56:BT56)/SUM($AW56:BH56),0)</f>
        <v>0.5</v>
      </c>
      <c r="DE56" s="254" t="str">
        <f t="shared" si="10"/>
        <v>0</v>
      </c>
      <c r="DF56" s="255" t="str">
        <f>IFERROR(SUM($BI56:BJ56)/SUM($AW56:AX56),"0")</f>
        <v>0</v>
      </c>
      <c r="DG56" s="256" t="str">
        <f>IFERROR(SUM($BI56:BK56)/SUM($AW56:AY56),"0")</f>
        <v>0</v>
      </c>
      <c r="DH56" s="256" t="str">
        <f>IFERROR(SUM($BI56:BL56)/SUM($AW56:AZ56),"0")</f>
        <v>0</v>
      </c>
      <c r="DI56" s="256" t="str">
        <f>IFERROR(SUM($BI56:BM56)/SUM($AW56:BA56),"0")</f>
        <v>0</v>
      </c>
      <c r="DJ56" s="256">
        <f>IFERROR(SUM($BI56:BN56)/SUM($AW56:BB56),"0")</f>
        <v>1</v>
      </c>
      <c r="DK56" s="256">
        <f>IFERROR(SUM($BI56:BO56)/SUM($AW56:BC56),"0")</f>
        <v>1</v>
      </c>
      <c r="DL56" s="256">
        <f>IFERROR(SUM($BI56:BP56)/SUM($AW56:BD56),"0")</f>
        <v>1</v>
      </c>
      <c r="DM56" s="256">
        <f>IFERROR(SUM($BI56:BQ56)/SUM($AW56:BE56),"0")</f>
        <v>0.5</v>
      </c>
      <c r="DN56" s="256">
        <f>IFERROR(SUM($BI56:BR56)/SUM($AW56:BF56),"0")</f>
        <v>0.5</v>
      </c>
      <c r="DO56" s="256">
        <f>IFERROR(SUM($BI56:BS56)/SUM($AW56:BG56),"0")</f>
        <v>0.5</v>
      </c>
      <c r="DP56" s="257">
        <f>IFERROR(SUM($BI56:BT56)/SUM($AW56:BH56),"0")</f>
        <v>0.5</v>
      </c>
    </row>
    <row r="57" spans="1:120" ht="39" customHeight="1" x14ac:dyDescent="0.25">
      <c r="A57" s="198" t="s">
        <v>773</v>
      </c>
      <c r="B57" s="161" t="s">
        <v>703</v>
      </c>
      <c r="C57" s="176" t="s">
        <v>774</v>
      </c>
      <c r="D57" s="161" t="s">
        <v>470</v>
      </c>
      <c r="E57" s="162" t="s">
        <v>443</v>
      </c>
      <c r="F57" s="163" t="s">
        <v>775</v>
      </c>
      <c r="G57" s="161" t="s">
        <v>703</v>
      </c>
      <c r="H57" s="164" t="s">
        <v>776</v>
      </c>
      <c r="I57" s="166" t="s">
        <v>357</v>
      </c>
      <c r="J57" s="176" t="s">
        <v>765</v>
      </c>
      <c r="K57" s="161" t="s">
        <v>181</v>
      </c>
      <c r="L57" s="164" t="s">
        <v>406</v>
      </c>
      <c r="M57" s="164" t="s">
        <v>448</v>
      </c>
      <c r="N57" s="164"/>
      <c r="O57" s="164"/>
      <c r="P57" s="164" t="s">
        <v>777</v>
      </c>
      <c r="Q57" s="164" t="s">
        <v>778</v>
      </c>
      <c r="R57" s="164" t="s">
        <v>779</v>
      </c>
      <c r="S57" s="164" t="s">
        <v>780</v>
      </c>
      <c r="T57" s="164" t="s">
        <v>781</v>
      </c>
      <c r="U57" s="164" t="s">
        <v>782</v>
      </c>
      <c r="V57" s="164" t="s">
        <v>783</v>
      </c>
      <c r="W57" s="164" t="s">
        <v>784</v>
      </c>
      <c r="X57" s="178" t="s">
        <v>399</v>
      </c>
      <c r="Y57" s="164" t="s">
        <v>399</v>
      </c>
      <c r="Z57" s="166" t="s">
        <v>193</v>
      </c>
      <c r="AA57" s="164" t="s">
        <v>456</v>
      </c>
      <c r="AB57" s="176" t="s">
        <v>217</v>
      </c>
      <c r="AC57" s="164" t="s">
        <v>714</v>
      </c>
      <c r="AD57" s="164" t="s">
        <v>715</v>
      </c>
      <c r="AE57" s="164" t="s">
        <v>716</v>
      </c>
      <c r="AF57" s="164">
        <v>0</v>
      </c>
      <c r="AG57" s="173">
        <v>100</v>
      </c>
      <c r="AH57" s="441">
        <v>100</v>
      </c>
      <c r="AI57" s="305">
        <v>100</v>
      </c>
      <c r="AJ57" s="173">
        <v>100</v>
      </c>
      <c r="AK57" s="173">
        <v>100</v>
      </c>
      <c r="AL57" s="173">
        <v>0</v>
      </c>
      <c r="AM57" s="176">
        <v>100</v>
      </c>
      <c r="AN57" s="429">
        <v>100</v>
      </c>
      <c r="AO57" s="432">
        <v>100</v>
      </c>
      <c r="AP57" s="511">
        <v>97</v>
      </c>
      <c r="AQ57" s="191">
        <v>0</v>
      </c>
      <c r="AR57" s="221" t="str">
        <f t="shared" si="11"/>
        <v>0</v>
      </c>
      <c r="AS57" s="221">
        <f t="shared" si="13"/>
        <v>1</v>
      </c>
      <c r="AT57" s="221">
        <f t="shared" si="12"/>
        <v>1</v>
      </c>
      <c r="AU57" s="221">
        <f t="shared" si="14"/>
        <v>0.97</v>
      </c>
      <c r="AV57" s="221">
        <f t="shared" si="15"/>
        <v>0</v>
      </c>
      <c r="AW57" s="187">
        <v>0</v>
      </c>
      <c r="AX57" s="187">
        <v>0</v>
      </c>
      <c r="AY57" s="473">
        <v>1</v>
      </c>
      <c r="AZ57" s="187">
        <v>0</v>
      </c>
      <c r="BA57" s="187">
        <v>0</v>
      </c>
      <c r="BB57" s="473">
        <v>1</v>
      </c>
      <c r="BC57" s="187">
        <v>0</v>
      </c>
      <c r="BD57" s="187">
        <v>0</v>
      </c>
      <c r="BE57" s="473">
        <v>1</v>
      </c>
      <c r="BF57" s="187">
        <v>0</v>
      </c>
      <c r="BG57" s="187">
        <v>0</v>
      </c>
      <c r="BH57" s="473">
        <v>1</v>
      </c>
      <c r="BI57" s="464">
        <v>0</v>
      </c>
      <c r="BJ57" s="464">
        <v>0</v>
      </c>
      <c r="BK57" s="464">
        <v>0.71</v>
      </c>
      <c r="BL57" s="464">
        <v>0</v>
      </c>
      <c r="BM57" s="464">
        <v>0</v>
      </c>
      <c r="BN57" s="520">
        <v>1.2175</v>
      </c>
      <c r="BO57" s="464">
        <v>0</v>
      </c>
      <c r="BP57" s="464">
        <v>0</v>
      </c>
      <c r="BQ57" s="464">
        <v>0</v>
      </c>
      <c r="BR57" s="464">
        <v>0</v>
      </c>
      <c r="BS57" s="464">
        <v>0</v>
      </c>
      <c r="BT57" s="464">
        <v>0</v>
      </c>
      <c r="BU57" s="179" t="s">
        <v>1269</v>
      </c>
      <c r="BV57" s="179" t="s">
        <v>1269</v>
      </c>
      <c r="BW57" s="164" t="s">
        <v>1303</v>
      </c>
      <c r="BX57" s="179" t="s">
        <v>1269</v>
      </c>
      <c r="BY57" s="179" t="s">
        <v>1269</v>
      </c>
      <c r="BZ57" s="179" t="s">
        <v>1408</v>
      </c>
      <c r="CA57" s="179" t="s">
        <v>1269</v>
      </c>
      <c r="CB57" s="179" t="s">
        <v>1269</v>
      </c>
      <c r="CC57" s="179"/>
      <c r="CD57" s="179" t="s">
        <v>1269</v>
      </c>
      <c r="CE57" s="179" t="s">
        <v>1269</v>
      </c>
      <c r="CF57" s="179"/>
      <c r="CG57" s="184"/>
      <c r="CH57" s="504">
        <f t="shared" si="9"/>
        <v>3</v>
      </c>
      <c r="CI57" s="176" t="s">
        <v>1417</v>
      </c>
      <c r="CJ57" s="222">
        <v>0</v>
      </c>
      <c r="CK57" s="222">
        <v>0.69</v>
      </c>
      <c r="CL57" s="222">
        <v>0.7</v>
      </c>
      <c r="CM57" s="222">
        <v>0.89</v>
      </c>
      <c r="CN57" s="222">
        <v>0.9</v>
      </c>
      <c r="CO57" s="222">
        <v>1</v>
      </c>
      <c r="CP57" s="227"/>
      <c r="CQ57" s="223" t="str">
        <f t="shared" si="16"/>
        <v>OPERATIVO</v>
      </c>
      <c r="CR57" s="224">
        <f t="shared" si="17"/>
        <v>0.481875</v>
      </c>
      <c r="CS57" s="225">
        <f>IFERROR(SUM($BI57:BI57)/SUM($AW57:AW57),0)</f>
        <v>0</v>
      </c>
      <c r="CT57" s="225">
        <f>IFERROR(SUM($BI57:BJ57)/SUM($AW57:AX57),0)</f>
        <v>0</v>
      </c>
      <c r="CU57" s="225">
        <f>IFERROR(SUM($BI57:BK57)/SUM($AW57:AY57),0)</f>
        <v>0.71</v>
      </c>
      <c r="CV57" s="225">
        <f>IFERROR(SUM($BI57:BL57)/SUM($AW57:AZ57),0)</f>
        <v>0.71</v>
      </c>
      <c r="CW57" s="225">
        <f>IFERROR(SUM($BI57:BM57)/SUM($AW57:BA57),0)</f>
        <v>0.71</v>
      </c>
      <c r="CX57" s="225">
        <f>IFERROR(SUM($BI57:BN57)/SUM($AW57:BB57),0)</f>
        <v>0.96375</v>
      </c>
      <c r="CY57" s="225">
        <f>IFERROR(SUM($BI57:BO57)/SUM($AW57:BC57),0)</f>
        <v>0.96375</v>
      </c>
      <c r="CZ57" s="225">
        <f>IFERROR(SUM($BI57:BP57)/SUM($AW57:BD57),0)</f>
        <v>0.96375</v>
      </c>
      <c r="DA57" s="225">
        <f>IFERROR(SUM($BI57:BQ57)/SUM($AW57:BE57),0)</f>
        <v>0.64249999999999996</v>
      </c>
      <c r="DB57" s="225">
        <f>IFERROR(SUM($BI57:BR57)/SUM($AW57:BF57),0)</f>
        <v>0.64249999999999996</v>
      </c>
      <c r="DC57" s="225">
        <f>IFERROR(SUM($BI57:BS57)/SUM($AW57:BG57),0)</f>
        <v>0.64249999999999996</v>
      </c>
      <c r="DD57" s="225">
        <f>IFERROR(SUM($BI57:BT57)/SUM($AW57:BH57),0)</f>
        <v>0.481875</v>
      </c>
      <c r="DE57" s="250" t="str">
        <f t="shared" si="10"/>
        <v>0</v>
      </c>
      <c r="DF57" s="251" t="str">
        <f>IFERROR(SUM($BI57:BJ57)/SUM($AW57:AX57),"0")</f>
        <v>0</v>
      </c>
      <c r="DG57" s="252">
        <f>IFERROR(SUM($BI57:BK57)/SUM($AW57:AY57),"0")</f>
        <v>0.71</v>
      </c>
      <c r="DH57" s="252">
        <f>IFERROR(SUM($BI57:BL57)/SUM($AW57:AZ57),"0")</f>
        <v>0.71</v>
      </c>
      <c r="DI57" s="252">
        <f>IFERROR(SUM($BI57:BM57)/SUM($AW57:BA57),"0")</f>
        <v>0.71</v>
      </c>
      <c r="DJ57" s="252">
        <f>IFERROR(SUM($BI57:BN57)/SUM($AW57:BB57),"0")</f>
        <v>0.96375</v>
      </c>
      <c r="DK57" s="252">
        <f>IFERROR(SUM($BI57:BO57)/SUM($AW57:BC57),"0")</f>
        <v>0.96375</v>
      </c>
      <c r="DL57" s="252">
        <f>IFERROR(SUM($BI57:BP57)/SUM($AW57:BD57),"0")</f>
        <v>0.96375</v>
      </c>
      <c r="DM57" s="252">
        <f>IFERROR(SUM($BI57:BQ57)/SUM($AW57:BE57),"0")</f>
        <v>0.64249999999999996</v>
      </c>
      <c r="DN57" s="252">
        <f>IFERROR(SUM($BI57:BR57)/SUM($AW57:BF57),"0")</f>
        <v>0.64249999999999996</v>
      </c>
      <c r="DO57" s="252">
        <f>IFERROR(SUM($BI57:BS57)/SUM($AW57:BG57),"0")</f>
        <v>0.64249999999999996</v>
      </c>
      <c r="DP57" s="253">
        <f>IFERROR(SUM($BI57:BT57)/SUM($AW57:BH57),"0")</f>
        <v>0.481875</v>
      </c>
    </row>
    <row r="58" spans="1:120" ht="39" customHeight="1" x14ac:dyDescent="0.25">
      <c r="A58" s="182" t="s">
        <v>1258</v>
      </c>
      <c r="B58" s="161" t="s">
        <v>703</v>
      </c>
      <c r="C58" s="176" t="s">
        <v>785</v>
      </c>
      <c r="D58" s="161" t="s">
        <v>470</v>
      </c>
      <c r="E58" s="162" t="s">
        <v>443</v>
      </c>
      <c r="F58" s="163" t="s">
        <v>786</v>
      </c>
      <c r="G58" s="161" t="s">
        <v>703</v>
      </c>
      <c r="H58" s="164" t="s">
        <v>787</v>
      </c>
      <c r="I58" s="183" t="s">
        <v>357</v>
      </c>
      <c r="J58" s="176" t="s">
        <v>765</v>
      </c>
      <c r="K58" s="161" t="s">
        <v>181</v>
      </c>
      <c r="L58" s="164" t="s">
        <v>448</v>
      </c>
      <c r="M58" s="164" t="s">
        <v>406</v>
      </c>
      <c r="N58" s="164"/>
      <c r="O58" s="164"/>
      <c r="P58" s="164" t="s">
        <v>777</v>
      </c>
      <c r="Q58" s="164" t="s">
        <v>778</v>
      </c>
      <c r="R58" s="164" t="s">
        <v>779</v>
      </c>
      <c r="S58" s="164" t="s">
        <v>780</v>
      </c>
      <c r="T58" s="164" t="s">
        <v>788</v>
      </c>
      <c r="U58" s="164" t="s">
        <v>789</v>
      </c>
      <c r="V58" s="164" t="s">
        <v>783</v>
      </c>
      <c r="W58" s="164" t="s">
        <v>790</v>
      </c>
      <c r="X58" s="178" t="s">
        <v>399</v>
      </c>
      <c r="Y58" s="164" t="s">
        <v>399</v>
      </c>
      <c r="Z58" s="166" t="s">
        <v>193</v>
      </c>
      <c r="AA58" s="164" t="s">
        <v>456</v>
      </c>
      <c r="AB58" s="176" t="s">
        <v>217</v>
      </c>
      <c r="AC58" s="164" t="s">
        <v>714</v>
      </c>
      <c r="AD58" s="164" t="s">
        <v>715</v>
      </c>
      <c r="AE58" s="164" t="s">
        <v>716</v>
      </c>
      <c r="AF58" s="164">
        <v>0</v>
      </c>
      <c r="AG58" s="173">
        <v>100</v>
      </c>
      <c r="AH58" s="441">
        <v>100</v>
      </c>
      <c r="AI58" s="305">
        <v>100</v>
      </c>
      <c r="AJ58" s="173">
        <v>100</v>
      </c>
      <c r="AK58" s="173">
        <v>100</v>
      </c>
      <c r="AL58" s="173">
        <v>0</v>
      </c>
      <c r="AM58" s="176">
        <v>100</v>
      </c>
      <c r="AN58" s="443">
        <v>100</v>
      </c>
      <c r="AO58" s="434">
        <v>99</v>
      </c>
      <c r="AP58" s="512">
        <v>95</v>
      </c>
      <c r="AQ58" s="191">
        <v>0</v>
      </c>
      <c r="AR58" s="221" t="str">
        <f t="shared" si="11"/>
        <v>0</v>
      </c>
      <c r="AS58" s="221">
        <f t="shared" si="13"/>
        <v>1</v>
      </c>
      <c r="AT58" s="221">
        <f t="shared" si="12"/>
        <v>0.99</v>
      </c>
      <c r="AU58" s="221">
        <f t="shared" si="14"/>
        <v>0.95</v>
      </c>
      <c r="AV58" s="221">
        <f t="shared" si="15"/>
        <v>0</v>
      </c>
      <c r="AW58" s="187">
        <v>0</v>
      </c>
      <c r="AX58" s="187">
        <v>0</v>
      </c>
      <c r="AY58" s="473">
        <v>1</v>
      </c>
      <c r="AZ58" s="187">
        <v>0</v>
      </c>
      <c r="BA58" s="187">
        <v>0</v>
      </c>
      <c r="BB58" s="473">
        <v>1</v>
      </c>
      <c r="BC58" s="187">
        <v>0</v>
      </c>
      <c r="BD58" s="187">
        <v>0</v>
      </c>
      <c r="BE58" s="473">
        <v>1</v>
      </c>
      <c r="BF58" s="187">
        <v>0</v>
      </c>
      <c r="BG58" s="187">
        <v>0</v>
      </c>
      <c r="BH58" s="473">
        <v>1</v>
      </c>
      <c r="BI58" s="461">
        <v>0</v>
      </c>
      <c r="BJ58" s="461">
        <v>0</v>
      </c>
      <c r="BK58" s="461">
        <v>0.89</v>
      </c>
      <c r="BL58" s="461">
        <v>0</v>
      </c>
      <c r="BM58" s="461">
        <v>0</v>
      </c>
      <c r="BN58" s="509">
        <v>1.0139</v>
      </c>
      <c r="BO58" s="461">
        <v>0</v>
      </c>
      <c r="BP58" s="461">
        <v>0</v>
      </c>
      <c r="BQ58" s="461">
        <v>0</v>
      </c>
      <c r="BR58" s="461">
        <v>0</v>
      </c>
      <c r="BS58" s="461">
        <v>0</v>
      </c>
      <c r="BT58" s="461">
        <v>0</v>
      </c>
      <c r="BU58" s="179" t="s">
        <v>1269</v>
      </c>
      <c r="BV58" s="179" t="s">
        <v>1269</v>
      </c>
      <c r="BW58" s="164" t="s">
        <v>1304</v>
      </c>
      <c r="BX58" s="179" t="s">
        <v>1269</v>
      </c>
      <c r="BY58" s="179" t="s">
        <v>1269</v>
      </c>
      <c r="BZ58" s="179" t="s">
        <v>1409</v>
      </c>
      <c r="CA58" s="179" t="s">
        <v>1269</v>
      </c>
      <c r="CB58" s="179" t="s">
        <v>1269</v>
      </c>
      <c r="CC58" s="179"/>
      <c r="CD58" s="179" t="s">
        <v>1269</v>
      </c>
      <c r="CE58" s="179" t="s">
        <v>1269</v>
      </c>
      <c r="CF58" s="179"/>
      <c r="CG58" s="184"/>
      <c r="CH58" s="504">
        <f t="shared" si="9"/>
        <v>5</v>
      </c>
      <c r="CI58" s="176" t="s">
        <v>1417</v>
      </c>
      <c r="CJ58" s="222">
        <v>0</v>
      </c>
      <c r="CK58" s="222">
        <v>0.49</v>
      </c>
      <c r="CL58" s="222">
        <v>0.5</v>
      </c>
      <c r="CM58" s="222">
        <v>0.74</v>
      </c>
      <c r="CN58" s="222">
        <v>0.75</v>
      </c>
      <c r="CO58" s="222">
        <v>1</v>
      </c>
      <c r="CP58" s="227"/>
      <c r="CQ58" s="223" t="str">
        <f t="shared" si="16"/>
        <v>OPERATIVO</v>
      </c>
      <c r="CR58" s="224">
        <f t="shared" si="17"/>
        <v>0.47597500000000004</v>
      </c>
      <c r="CS58" s="225">
        <f>IFERROR(SUM($BI58:BI58)/SUM($AW58:AW58),0)</f>
        <v>0</v>
      </c>
      <c r="CT58" s="225">
        <f>IFERROR(SUM($BI58:BJ58)/SUM($AW58:AX58),0)</f>
        <v>0</v>
      </c>
      <c r="CU58" s="225">
        <f>IFERROR(SUM($BI58:BK58)/SUM($AW58:AY58),0)</f>
        <v>0.89</v>
      </c>
      <c r="CV58" s="225">
        <f>IFERROR(SUM($BI58:BL58)/SUM($AW58:AZ58),0)</f>
        <v>0.89</v>
      </c>
      <c r="CW58" s="225">
        <f>IFERROR(SUM($BI58:BM58)/SUM($AW58:BA58),0)</f>
        <v>0.89</v>
      </c>
      <c r="CX58" s="225">
        <f>IFERROR(SUM($BI58:BN58)/SUM($AW58:BB58),0)</f>
        <v>0.95195000000000007</v>
      </c>
      <c r="CY58" s="225">
        <f>IFERROR(SUM($BI58:BO58)/SUM($AW58:BC58),0)</f>
        <v>0.95195000000000007</v>
      </c>
      <c r="CZ58" s="225">
        <f>IFERROR(SUM($BI58:BP58)/SUM($AW58:BD58),0)</f>
        <v>0.95195000000000007</v>
      </c>
      <c r="DA58" s="225">
        <f>IFERROR(SUM($BI58:BQ58)/SUM($AW58:BE58),0)</f>
        <v>0.63463333333333338</v>
      </c>
      <c r="DB58" s="225">
        <f>IFERROR(SUM($BI58:BR58)/SUM($AW58:BF58),0)</f>
        <v>0.63463333333333338</v>
      </c>
      <c r="DC58" s="225">
        <f>IFERROR(SUM($BI58:BS58)/SUM($AW58:BG58),0)</f>
        <v>0.63463333333333338</v>
      </c>
      <c r="DD58" s="225">
        <f>IFERROR(SUM($BI58:BT58)/SUM($AW58:BH58),0)</f>
        <v>0.47597500000000004</v>
      </c>
      <c r="DE58" s="254" t="str">
        <f t="shared" si="10"/>
        <v>0</v>
      </c>
      <c r="DF58" s="255" t="str">
        <f>IFERROR(SUM($BI58:BJ58)/SUM($AW58:AX58),"0")</f>
        <v>0</v>
      </c>
      <c r="DG58" s="256">
        <f>IFERROR(SUM($BI58:BK58)/SUM($AW58:AY58),"0")</f>
        <v>0.89</v>
      </c>
      <c r="DH58" s="256">
        <f>IFERROR(SUM($BI58:BL58)/SUM($AW58:AZ58),"0")</f>
        <v>0.89</v>
      </c>
      <c r="DI58" s="256">
        <f>IFERROR(SUM($BI58:BM58)/SUM($AW58:BA58),"0")</f>
        <v>0.89</v>
      </c>
      <c r="DJ58" s="256">
        <f>IFERROR(SUM($BI58:BN58)/SUM($AW58:BB58),"0")</f>
        <v>0.95195000000000007</v>
      </c>
      <c r="DK58" s="256">
        <f>IFERROR(SUM($BI58:BO58)/SUM($AW58:BC58),"0")</f>
        <v>0.95195000000000007</v>
      </c>
      <c r="DL58" s="256">
        <f>IFERROR(SUM($BI58:BP58)/SUM($AW58:BD58),"0")</f>
        <v>0.95195000000000007</v>
      </c>
      <c r="DM58" s="256">
        <f>IFERROR(SUM($BI58:BQ58)/SUM($AW58:BE58),"0")</f>
        <v>0.63463333333333338</v>
      </c>
      <c r="DN58" s="256">
        <f>IFERROR(SUM($BI58:BR58)/SUM($AW58:BF58),"0")</f>
        <v>0.63463333333333338</v>
      </c>
      <c r="DO58" s="256">
        <f>IFERROR(SUM($BI58:BS58)/SUM($AW58:BG58),"0")</f>
        <v>0.63463333333333338</v>
      </c>
      <c r="DP58" s="257">
        <f>IFERROR(SUM($BI58:BT58)/SUM($AW58:BH58),"0")</f>
        <v>0.47597500000000004</v>
      </c>
    </row>
    <row r="59" spans="1:120" ht="39" customHeight="1" x14ac:dyDescent="0.25">
      <c r="A59" s="383" t="s">
        <v>1170</v>
      </c>
      <c r="B59" s="161" t="s">
        <v>703</v>
      </c>
      <c r="C59" s="176" t="s">
        <v>834</v>
      </c>
      <c r="D59" s="161" t="s">
        <v>470</v>
      </c>
      <c r="E59" s="162" t="s">
        <v>443</v>
      </c>
      <c r="F59" s="163" t="s">
        <v>1169</v>
      </c>
      <c r="G59" s="161" t="s">
        <v>703</v>
      </c>
      <c r="H59" s="164" t="s">
        <v>1170</v>
      </c>
      <c r="I59" s="183" t="s">
        <v>357</v>
      </c>
      <c r="J59" s="176" t="s">
        <v>765</v>
      </c>
      <c r="K59" s="161" t="s">
        <v>181</v>
      </c>
      <c r="L59" s="164" t="s">
        <v>448</v>
      </c>
      <c r="M59" s="164" t="s">
        <v>406</v>
      </c>
      <c r="N59" s="164"/>
      <c r="O59" s="164"/>
      <c r="P59" s="164" t="s">
        <v>1171</v>
      </c>
      <c r="Q59" s="164" t="s">
        <v>723</v>
      </c>
      <c r="R59" s="164" t="s">
        <v>1172</v>
      </c>
      <c r="S59" s="164" t="s">
        <v>1173</v>
      </c>
      <c r="T59" s="164" t="s">
        <v>1174</v>
      </c>
      <c r="U59" s="164" t="s">
        <v>1175</v>
      </c>
      <c r="V59" s="164" t="s">
        <v>1176</v>
      </c>
      <c r="W59" s="164" t="s">
        <v>784</v>
      </c>
      <c r="X59" s="178" t="s">
        <v>399</v>
      </c>
      <c r="Y59" s="164" t="s">
        <v>399</v>
      </c>
      <c r="Z59" s="166" t="s">
        <v>193</v>
      </c>
      <c r="AA59" s="164" t="s">
        <v>65</v>
      </c>
      <c r="AB59" s="176" t="s">
        <v>1093</v>
      </c>
      <c r="AC59" s="164" t="s">
        <v>714</v>
      </c>
      <c r="AD59" s="164" t="s">
        <v>715</v>
      </c>
      <c r="AE59" s="164" t="s">
        <v>716</v>
      </c>
      <c r="AF59" s="164">
        <v>0</v>
      </c>
      <c r="AG59" s="173">
        <v>0</v>
      </c>
      <c r="AH59" s="441">
        <v>0</v>
      </c>
      <c r="AI59" s="169">
        <v>0</v>
      </c>
      <c r="AJ59" s="173">
        <v>75</v>
      </c>
      <c r="AK59" s="173">
        <v>0</v>
      </c>
      <c r="AL59" s="173">
        <v>0</v>
      </c>
      <c r="AM59" s="171">
        <v>0</v>
      </c>
      <c r="AN59" s="429">
        <v>0</v>
      </c>
      <c r="AO59" s="477">
        <v>0</v>
      </c>
      <c r="AP59" s="512">
        <v>0</v>
      </c>
      <c r="AQ59" s="191">
        <v>0</v>
      </c>
      <c r="AR59" s="221" t="str">
        <f t="shared" si="11"/>
        <v>0</v>
      </c>
      <c r="AS59" s="221" t="str">
        <f t="shared" si="13"/>
        <v>0</v>
      </c>
      <c r="AT59" s="221" t="str">
        <f t="shared" si="12"/>
        <v>0</v>
      </c>
      <c r="AU59" s="221">
        <f t="shared" si="14"/>
        <v>0</v>
      </c>
      <c r="AV59" s="221" t="str">
        <f t="shared" si="15"/>
        <v>0</v>
      </c>
      <c r="AW59" s="187">
        <v>0</v>
      </c>
      <c r="AX59" s="187">
        <v>0</v>
      </c>
      <c r="AY59" s="187">
        <v>0</v>
      </c>
      <c r="AZ59" s="187">
        <v>0</v>
      </c>
      <c r="BA59" s="187">
        <v>0</v>
      </c>
      <c r="BB59" s="187">
        <v>0</v>
      </c>
      <c r="BC59" s="187">
        <v>0</v>
      </c>
      <c r="BD59" s="187">
        <v>0</v>
      </c>
      <c r="BE59" s="187">
        <v>0</v>
      </c>
      <c r="BF59" s="187">
        <v>0</v>
      </c>
      <c r="BG59" s="187">
        <v>0</v>
      </c>
      <c r="BH59" s="473">
        <v>0.75</v>
      </c>
      <c r="BI59" s="482">
        <v>0</v>
      </c>
      <c r="BJ59" s="482">
        <v>0</v>
      </c>
      <c r="BK59" s="482">
        <v>0</v>
      </c>
      <c r="BL59" s="482">
        <v>0</v>
      </c>
      <c r="BM59" s="482">
        <v>0</v>
      </c>
      <c r="BN59" s="482">
        <v>0</v>
      </c>
      <c r="BO59" s="482">
        <v>0</v>
      </c>
      <c r="BP59" s="482">
        <v>0</v>
      </c>
      <c r="BQ59" s="482">
        <v>0</v>
      </c>
      <c r="BR59" s="482">
        <v>0</v>
      </c>
      <c r="BS59" s="482">
        <v>0</v>
      </c>
      <c r="BT59" s="482">
        <v>0</v>
      </c>
      <c r="BU59" s="179" t="s">
        <v>1277</v>
      </c>
      <c r="BV59" s="179" t="s">
        <v>1277</v>
      </c>
      <c r="BW59" s="179" t="s">
        <v>1305</v>
      </c>
      <c r="BX59" s="179" t="s">
        <v>1277</v>
      </c>
      <c r="BY59" s="179" t="s">
        <v>1277</v>
      </c>
      <c r="BZ59" s="179" t="s">
        <v>1305</v>
      </c>
      <c r="CA59" s="179" t="s">
        <v>1277</v>
      </c>
      <c r="CB59" s="179" t="s">
        <v>1277</v>
      </c>
      <c r="CC59" s="179" t="s">
        <v>1277</v>
      </c>
      <c r="CD59" s="179" t="s">
        <v>1277</v>
      </c>
      <c r="CE59" s="179" t="s">
        <v>1277</v>
      </c>
      <c r="CF59" s="179"/>
      <c r="CG59" s="377"/>
      <c r="CH59" s="504">
        <f t="shared" si="9"/>
        <v>75</v>
      </c>
      <c r="CI59" s="176" t="s">
        <v>1413</v>
      </c>
      <c r="CJ59" s="222">
        <v>0</v>
      </c>
      <c r="CK59" s="222">
        <v>0.49</v>
      </c>
      <c r="CL59" s="222">
        <v>0.5</v>
      </c>
      <c r="CM59" s="222">
        <v>0.74</v>
      </c>
      <c r="CN59" s="222">
        <v>0.75</v>
      </c>
      <c r="CO59" s="222">
        <v>1</v>
      </c>
      <c r="CP59" s="229"/>
      <c r="CQ59" s="378" t="str">
        <f t="shared" si="16"/>
        <v>OPERATIVO</v>
      </c>
      <c r="CR59" s="379">
        <f t="shared" si="17"/>
        <v>0</v>
      </c>
      <c r="CS59" s="380">
        <f>IFERROR(SUM($BI59:BI59)/SUM($AW59:AW59),0)</f>
        <v>0</v>
      </c>
      <c r="CT59" s="380">
        <f>IFERROR(SUM($BI59:BJ59)/SUM($AW59:AX59),0)</f>
        <v>0</v>
      </c>
      <c r="CU59" s="380">
        <f>IFERROR(SUM($BI59:BK59)/SUM($AW59:AY59),0)</f>
        <v>0</v>
      </c>
      <c r="CV59" s="380">
        <f>IFERROR(SUM($BI59:BL59)/SUM($AW59:AZ59),0)</f>
        <v>0</v>
      </c>
      <c r="CW59" s="380">
        <f>IFERROR(SUM($BI59:BM59)/SUM($AW59:BA59),0)</f>
        <v>0</v>
      </c>
      <c r="CX59" s="380">
        <f>IFERROR(SUM($BI59:BN59)/SUM($AW59:BB59),0)</f>
        <v>0</v>
      </c>
      <c r="CY59" s="380">
        <f>IFERROR(SUM($BI59:BO59)/SUM($AW59:BC59),0)</f>
        <v>0</v>
      </c>
      <c r="CZ59" s="380">
        <f>IFERROR(SUM($BI59:BP59)/SUM($AW59:BD59),0)</f>
        <v>0</v>
      </c>
      <c r="DA59" s="380">
        <f>IFERROR(SUM($BI59:BQ59)/SUM($AW59:BE59),0)</f>
        <v>0</v>
      </c>
      <c r="DB59" s="380">
        <f>IFERROR(SUM($BI59:BR59)/SUM($AW59:BF59),0)</f>
        <v>0</v>
      </c>
      <c r="DC59" s="380">
        <f>IFERROR(SUM($BI59:BS59)/SUM($AW59:BG59),0)</f>
        <v>0</v>
      </c>
      <c r="DD59" s="380">
        <f>IFERROR(SUM($BI59:BT59)/SUM($AW59:BH59),0)</f>
        <v>0</v>
      </c>
      <c r="DE59" s="250" t="str">
        <f t="shared" si="10"/>
        <v>0</v>
      </c>
      <c r="DF59" s="251" t="str">
        <f>IFERROR(SUM($BI59:BJ59)/SUM($AW59:AX59),"0")</f>
        <v>0</v>
      </c>
      <c r="DG59" s="252" t="str">
        <f>IFERROR(SUM($BI59:BK59)/SUM($AW59:AY59),"0")</f>
        <v>0</v>
      </c>
      <c r="DH59" s="252" t="str">
        <f>IFERROR(SUM($BI59:BL59)/SUM($AW59:AZ59),"0")</f>
        <v>0</v>
      </c>
      <c r="DI59" s="252" t="str">
        <f>IFERROR(SUM($BI59:BM59)/SUM($AW59:BA59),"0")</f>
        <v>0</v>
      </c>
      <c r="DJ59" s="252" t="str">
        <f>IFERROR(SUM($BI59:BN59)/SUM($AW59:BB59),"0")</f>
        <v>0</v>
      </c>
      <c r="DK59" s="252" t="str">
        <f>IFERROR(SUM($BI59:BO59)/SUM($AW59:BC59),"0")</f>
        <v>0</v>
      </c>
      <c r="DL59" s="252" t="str">
        <f>IFERROR(SUM($BI59:BP59)/SUM($AW59:BD59),"0")</f>
        <v>0</v>
      </c>
      <c r="DM59" s="252" t="str">
        <f>IFERROR(SUM($BI59:BQ59)/SUM($AW59:BE59),"0")</f>
        <v>0</v>
      </c>
      <c r="DN59" s="252" t="str">
        <f>IFERROR(SUM($BI59:BR59)/SUM($AW59:BF59),"0")</f>
        <v>0</v>
      </c>
      <c r="DO59" s="252" t="str">
        <f>IFERROR(SUM($BI59:BS59)/SUM($AW59:BG59),"0")</f>
        <v>0</v>
      </c>
      <c r="DP59" s="253">
        <f>IFERROR(SUM($BI59:BT59)/SUM($AW59:BH59),"0")</f>
        <v>0</v>
      </c>
    </row>
    <row r="60" spans="1:120" ht="39" customHeight="1" x14ac:dyDescent="0.3">
      <c r="A60" s="228" t="s">
        <v>798</v>
      </c>
      <c r="B60" s="161" t="s">
        <v>703</v>
      </c>
      <c r="C60" s="176" t="s">
        <v>799</v>
      </c>
      <c r="D60" s="161" t="s">
        <v>319</v>
      </c>
      <c r="E60" s="162" t="s">
        <v>443</v>
      </c>
      <c r="F60" s="163" t="s">
        <v>800</v>
      </c>
      <c r="G60" s="161" t="s">
        <v>703</v>
      </c>
      <c r="H60" s="164" t="s">
        <v>1194</v>
      </c>
      <c r="I60" s="166" t="s">
        <v>357</v>
      </c>
      <c r="J60" s="180" t="s">
        <v>801</v>
      </c>
      <c r="K60" s="161" t="s">
        <v>181</v>
      </c>
      <c r="L60" s="164" t="s">
        <v>448</v>
      </c>
      <c r="M60" s="164" t="s">
        <v>406</v>
      </c>
      <c r="N60" s="164"/>
      <c r="O60" s="164"/>
      <c r="P60" s="164" t="s">
        <v>802</v>
      </c>
      <c r="Q60" s="164" t="s">
        <v>803</v>
      </c>
      <c r="R60" s="164" t="s">
        <v>804</v>
      </c>
      <c r="S60" s="164" t="s">
        <v>805</v>
      </c>
      <c r="T60" s="164" t="s">
        <v>806</v>
      </c>
      <c r="U60" s="164" t="s">
        <v>807</v>
      </c>
      <c r="V60" s="164" t="s">
        <v>808</v>
      </c>
      <c r="W60" s="164" t="s">
        <v>809</v>
      </c>
      <c r="X60" s="178">
        <v>1</v>
      </c>
      <c r="Y60" s="164" t="s">
        <v>810</v>
      </c>
      <c r="Z60" s="166" t="s">
        <v>193</v>
      </c>
      <c r="AA60" s="164" t="s">
        <v>456</v>
      </c>
      <c r="AB60" s="176" t="s">
        <v>217</v>
      </c>
      <c r="AC60" s="164" t="s">
        <v>714</v>
      </c>
      <c r="AD60" s="164" t="s">
        <v>715</v>
      </c>
      <c r="AE60" s="164" t="s">
        <v>716</v>
      </c>
      <c r="AF60" s="164">
        <v>0</v>
      </c>
      <c r="AG60" s="173">
        <v>100</v>
      </c>
      <c r="AH60" s="441">
        <v>100</v>
      </c>
      <c r="AI60" s="305">
        <v>100</v>
      </c>
      <c r="AJ60" s="173">
        <v>100</v>
      </c>
      <c r="AK60" s="173">
        <v>100</v>
      </c>
      <c r="AL60" s="181">
        <v>0</v>
      </c>
      <c r="AM60" s="173">
        <v>100</v>
      </c>
      <c r="AN60" s="443">
        <v>99</v>
      </c>
      <c r="AO60" s="434">
        <v>99</v>
      </c>
      <c r="AP60" s="512">
        <v>94</v>
      </c>
      <c r="AQ60" s="191">
        <v>0</v>
      </c>
      <c r="AR60" s="221" t="str">
        <f t="shared" si="11"/>
        <v>0</v>
      </c>
      <c r="AS60" s="221">
        <f t="shared" si="13"/>
        <v>1</v>
      </c>
      <c r="AT60" s="221">
        <f t="shared" si="12"/>
        <v>0.99</v>
      </c>
      <c r="AU60" s="221">
        <f t="shared" si="14"/>
        <v>0.94</v>
      </c>
      <c r="AV60" s="221">
        <f t="shared" si="15"/>
        <v>0</v>
      </c>
      <c r="AW60" s="187">
        <v>0</v>
      </c>
      <c r="AX60" s="187">
        <v>0</v>
      </c>
      <c r="AY60" s="473">
        <v>1</v>
      </c>
      <c r="AZ60" s="187">
        <v>0</v>
      </c>
      <c r="BA60" s="187">
        <v>0</v>
      </c>
      <c r="BB60" s="473">
        <v>1</v>
      </c>
      <c r="BC60" s="187">
        <v>0</v>
      </c>
      <c r="BD60" s="187">
        <v>0</v>
      </c>
      <c r="BE60" s="473">
        <v>1</v>
      </c>
      <c r="BF60" s="187">
        <v>0</v>
      </c>
      <c r="BG60" s="187">
        <v>0</v>
      </c>
      <c r="BH60" s="473">
        <v>1</v>
      </c>
      <c r="BI60" s="465">
        <v>0</v>
      </c>
      <c r="BJ60" s="465">
        <v>0</v>
      </c>
      <c r="BK60" s="465">
        <v>0.97</v>
      </c>
      <c r="BL60" s="465">
        <v>0</v>
      </c>
      <c r="BM60" s="465">
        <v>0</v>
      </c>
      <c r="BN60" s="510">
        <v>0.91</v>
      </c>
      <c r="BO60" s="465">
        <v>0</v>
      </c>
      <c r="BP60" s="465">
        <v>0</v>
      </c>
      <c r="BQ60" s="465">
        <v>0</v>
      </c>
      <c r="BR60" s="465">
        <v>0</v>
      </c>
      <c r="BS60" s="465">
        <v>0</v>
      </c>
      <c r="BT60" s="465">
        <v>0</v>
      </c>
      <c r="BU60" s="179" t="s">
        <v>1269</v>
      </c>
      <c r="BV60" s="179" t="s">
        <v>1269</v>
      </c>
      <c r="BW60" s="164" t="s">
        <v>1306</v>
      </c>
      <c r="BX60" s="179" t="s">
        <v>1269</v>
      </c>
      <c r="BY60" s="179" t="s">
        <v>1269</v>
      </c>
      <c r="BZ60" s="179" t="s">
        <v>1410</v>
      </c>
      <c r="CA60" s="179" t="s">
        <v>1269</v>
      </c>
      <c r="CB60" s="179" t="s">
        <v>1269</v>
      </c>
      <c r="CC60" s="179"/>
      <c r="CD60" s="179" t="s">
        <v>1269</v>
      </c>
      <c r="CE60" s="179" t="s">
        <v>1269</v>
      </c>
      <c r="CF60" s="179"/>
      <c r="CG60" s="184"/>
      <c r="CH60" s="504">
        <f t="shared" si="9"/>
        <v>6</v>
      </c>
      <c r="CI60" s="176" t="s">
        <v>1413</v>
      </c>
      <c r="CJ60" s="222">
        <v>0</v>
      </c>
      <c r="CK60" s="222">
        <v>0.59</v>
      </c>
      <c r="CL60" s="222">
        <v>0.6</v>
      </c>
      <c r="CM60" s="222">
        <v>0.84</v>
      </c>
      <c r="CN60" s="222">
        <v>0.85</v>
      </c>
      <c r="CO60" s="222">
        <v>1</v>
      </c>
      <c r="CP60" s="229"/>
      <c r="CQ60" s="223" t="str">
        <f t="shared" si="16"/>
        <v>TÁCTICO</v>
      </c>
      <c r="CR60" s="224">
        <f t="shared" si="17"/>
        <v>0.47</v>
      </c>
      <c r="CS60" s="225">
        <f>IFERROR(SUM($BI60:BI60)/SUM($AW60:AW60),0)</f>
        <v>0</v>
      </c>
      <c r="CT60" s="225">
        <f>IFERROR(SUM($BI60:BJ60)/SUM($AW60:AX60),0)</f>
        <v>0</v>
      </c>
      <c r="CU60" s="225">
        <f>IFERROR(SUM($BI60:BK60)/SUM($AW60:AY60),0)</f>
        <v>0.97</v>
      </c>
      <c r="CV60" s="225">
        <f>IFERROR(SUM($BI60:BL60)/SUM($AW60:AZ60),0)</f>
        <v>0.97</v>
      </c>
      <c r="CW60" s="225">
        <f>IFERROR(SUM($BI60:BM60)/SUM($AW60:BA60),0)</f>
        <v>0.97</v>
      </c>
      <c r="CX60" s="225">
        <f>IFERROR(SUM($BI60:BN60)/SUM($AW60:BB60),0)</f>
        <v>0.94</v>
      </c>
      <c r="CY60" s="225">
        <f>IFERROR(SUM($BI60:BO60)/SUM($AW60:BC60),0)</f>
        <v>0.94</v>
      </c>
      <c r="CZ60" s="225">
        <f>IFERROR(SUM($BI60:BP60)/SUM($AW60:BD60),0)</f>
        <v>0.94</v>
      </c>
      <c r="DA60" s="225">
        <f>IFERROR(SUM($BI60:BQ60)/SUM($AW60:BE60),0)</f>
        <v>0.62666666666666659</v>
      </c>
      <c r="DB60" s="225">
        <f>IFERROR(SUM($BI60:BR60)/SUM($AW60:BF60),0)</f>
        <v>0.62666666666666659</v>
      </c>
      <c r="DC60" s="225">
        <f>IFERROR(SUM($BI60:BS60)/SUM($AW60:BG60),0)</f>
        <v>0.62666666666666659</v>
      </c>
      <c r="DD60" s="225">
        <f>IFERROR(SUM($BI60:BT60)/SUM($AW60:BH60),0)</f>
        <v>0.47</v>
      </c>
      <c r="DE60" s="254" t="str">
        <f t="shared" si="10"/>
        <v>0</v>
      </c>
      <c r="DF60" s="255" t="str">
        <f>IFERROR(SUM($BI60:BJ60)/SUM($AW60:AX60),"0")</f>
        <v>0</v>
      </c>
      <c r="DG60" s="256">
        <f>IFERROR(SUM($BI60:BK60)/SUM($AW60:AY60),"0")</f>
        <v>0.97</v>
      </c>
      <c r="DH60" s="256">
        <f>IFERROR(SUM($BI60:BL60)/SUM($AW60:AZ60),"0")</f>
        <v>0.97</v>
      </c>
      <c r="DI60" s="256">
        <f>IFERROR(SUM($BI60:BM60)/SUM($AW60:BA60),"0")</f>
        <v>0.97</v>
      </c>
      <c r="DJ60" s="256">
        <f>IFERROR(SUM($BI60:BN60)/SUM($AW60:BB60),"0")</f>
        <v>0.94</v>
      </c>
      <c r="DK60" s="256">
        <f>IFERROR(SUM($BI60:BO60)/SUM($AW60:BC60),"0")</f>
        <v>0.94</v>
      </c>
      <c r="DL60" s="256">
        <f>IFERROR(SUM($BI60:BP60)/SUM($AW60:BD60),"0")</f>
        <v>0.94</v>
      </c>
      <c r="DM60" s="256">
        <f>IFERROR(SUM($BI60:BQ60)/SUM($AW60:BE60),"0")</f>
        <v>0.62666666666666659</v>
      </c>
      <c r="DN60" s="256">
        <f>IFERROR(SUM($BI60:BR60)/SUM($AW60:BF60),"0")</f>
        <v>0.62666666666666659</v>
      </c>
      <c r="DO60" s="256">
        <f>IFERROR(SUM($BI60:BS60)/SUM($AW60:BG60),"0")</f>
        <v>0.62666666666666659</v>
      </c>
      <c r="DP60" s="257">
        <f>IFERROR(SUM($BI60:BT60)/SUM($AW60:BH60),"0")</f>
        <v>0.47</v>
      </c>
    </row>
    <row r="61" spans="1:120" ht="39" customHeight="1" x14ac:dyDescent="0.25">
      <c r="A61" s="182" t="s">
        <v>811</v>
      </c>
      <c r="B61" s="161" t="s">
        <v>703</v>
      </c>
      <c r="C61" s="176" t="s">
        <v>812</v>
      </c>
      <c r="D61" s="161" t="s">
        <v>319</v>
      </c>
      <c r="E61" s="162" t="s">
        <v>443</v>
      </c>
      <c r="F61" s="163" t="s">
        <v>813</v>
      </c>
      <c r="G61" s="161" t="s">
        <v>703</v>
      </c>
      <c r="H61" s="164" t="s">
        <v>1195</v>
      </c>
      <c r="I61" s="166" t="s">
        <v>357</v>
      </c>
      <c r="J61" s="180" t="s">
        <v>801</v>
      </c>
      <c r="K61" s="161" t="s">
        <v>181</v>
      </c>
      <c r="L61" s="164" t="s">
        <v>448</v>
      </c>
      <c r="M61" s="164" t="s">
        <v>406</v>
      </c>
      <c r="N61" s="164"/>
      <c r="O61" s="164"/>
      <c r="P61" s="164" t="s">
        <v>814</v>
      </c>
      <c r="Q61" s="164" t="s">
        <v>815</v>
      </c>
      <c r="R61" s="164" t="s">
        <v>816</v>
      </c>
      <c r="S61" s="164" t="s">
        <v>817</v>
      </c>
      <c r="T61" s="164" t="s">
        <v>818</v>
      </c>
      <c r="U61" s="164" t="s">
        <v>819</v>
      </c>
      <c r="V61" s="164" t="s">
        <v>808</v>
      </c>
      <c r="W61" s="164" t="s">
        <v>820</v>
      </c>
      <c r="X61" s="178">
        <v>1</v>
      </c>
      <c r="Y61" s="164" t="s">
        <v>810</v>
      </c>
      <c r="Z61" s="166" t="s">
        <v>193</v>
      </c>
      <c r="AA61" s="164" t="s">
        <v>456</v>
      </c>
      <c r="AB61" s="176" t="s">
        <v>217</v>
      </c>
      <c r="AC61" s="164" t="s">
        <v>714</v>
      </c>
      <c r="AD61" s="164" t="s">
        <v>715</v>
      </c>
      <c r="AE61" s="164" t="s">
        <v>716</v>
      </c>
      <c r="AF61" s="164">
        <v>0</v>
      </c>
      <c r="AG61" s="173">
        <v>100</v>
      </c>
      <c r="AH61" s="441">
        <v>100</v>
      </c>
      <c r="AI61" s="305">
        <v>100</v>
      </c>
      <c r="AJ61" s="173">
        <v>100</v>
      </c>
      <c r="AK61" s="173">
        <v>100</v>
      </c>
      <c r="AL61" s="181">
        <v>0</v>
      </c>
      <c r="AM61" s="173">
        <v>100</v>
      </c>
      <c r="AN61" s="443">
        <v>92</v>
      </c>
      <c r="AO61" s="434">
        <v>92</v>
      </c>
      <c r="AP61" s="512">
        <v>100</v>
      </c>
      <c r="AQ61" s="191">
        <v>0</v>
      </c>
      <c r="AR61" s="221" t="str">
        <f>IFERROR(AL61/AF61,"0")</f>
        <v>0</v>
      </c>
      <c r="AS61" s="221">
        <f>IFERROR(AM61/AG61,"0")</f>
        <v>1</v>
      </c>
      <c r="AT61" s="221">
        <f>IFERROR(AO61/AI61,"0")</f>
        <v>0.92</v>
      </c>
      <c r="AU61" s="221">
        <f>IFERROR(AP61/AJ61,"0")</f>
        <v>1</v>
      </c>
      <c r="AV61" s="221">
        <f>IFERROR(AQ61/AK61,"0")</f>
        <v>0</v>
      </c>
      <c r="AW61" s="187">
        <v>0</v>
      </c>
      <c r="AX61" s="187">
        <v>0</v>
      </c>
      <c r="AY61" s="473">
        <v>1</v>
      </c>
      <c r="AZ61" s="187">
        <v>0</v>
      </c>
      <c r="BA61" s="187">
        <v>0</v>
      </c>
      <c r="BB61" s="473">
        <v>1</v>
      </c>
      <c r="BC61" s="187">
        <v>0</v>
      </c>
      <c r="BD61" s="187">
        <v>0</v>
      </c>
      <c r="BE61" s="473">
        <v>1</v>
      </c>
      <c r="BF61" s="187">
        <v>0</v>
      </c>
      <c r="BG61" s="187">
        <v>0</v>
      </c>
      <c r="BH61" s="473">
        <v>1</v>
      </c>
      <c r="BI61" s="465">
        <v>0</v>
      </c>
      <c r="BJ61" s="465">
        <v>0</v>
      </c>
      <c r="BK61" s="465">
        <v>1</v>
      </c>
      <c r="BL61" s="465">
        <v>0</v>
      </c>
      <c r="BM61" s="465">
        <v>0</v>
      </c>
      <c r="BN61" s="510">
        <v>1</v>
      </c>
      <c r="BO61" s="465">
        <v>0</v>
      </c>
      <c r="BP61" s="465">
        <v>0</v>
      </c>
      <c r="BQ61" s="465">
        <v>0</v>
      </c>
      <c r="BR61" s="465">
        <v>0</v>
      </c>
      <c r="BS61" s="465">
        <v>0</v>
      </c>
      <c r="BT61" s="465">
        <v>0</v>
      </c>
      <c r="BU61" s="179" t="s">
        <v>1269</v>
      </c>
      <c r="BV61" s="179" t="s">
        <v>1269</v>
      </c>
      <c r="BW61" s="164" t="s">
        <v>1307</v>
      </c>
      <c r="BX61" s="179" t="s">
        <v>1269</v>
      </c>
      <c r="BY61" s="179" t="s">
        <v>1269</v>
      </c>
      <c r="BZ61" s="179" t="s">
        <v>1307</v>
      </c>
      <c r="CA61" s="179" t="s">
        <v>1269</v>
      </c>
      <c r="CB61" s="179" t="s">
        <v>1269</v>
      </c>
      <c r="CC61" s="179"/>
      <c r="CD61" s="179" t="s">
        <v>1269</v>
      </c>
      <c r="CE61" s="179" t="s">
        <v>1269</v>
      </c>
      <c r="CF61" s="179"/>
      <c r="CG61" s="184"/>
      <c r="CH61" s="504">
        <f t="shared" si="9"/>
        <v>0</v>
      </c>
      <c r="CI61" s="176" t="s">
        <v>1413</v>
      </c>
      <c r="CJ61" s="222">
        <v>0</v>
      </c>
      <c r="CK61" s="222">
        <v>0.59</v>
      </c>
      <c r="CL61" s="222">
        <v>0.6</v>
      </c>
      <c r="CM61" s="222">
        <v>0.84</v>
      </c>
      <c r="CN61" s="222">
        <v>0.85</v>
      </c>
      <c r="CO61" s="222">
        <v>1</v>
      </c>
      <c r="CP61" s="229"/>
      <c r="CQ61" s="223" t="str">
        <f>D61</f>
        <v>TÁCTICO</v>
      </c>
      <c r="CR61" s="224">
        <f>IFERROR(SUM(BI61:BT61)/SUM(AW61:BH61),0)</f>
        <v>0.5</v>
      </c>
      <c r="CS61" s="225">
        <f>IFERROR(SUM($BI61:BI61)/SUM($AW61:AW61),0)</f>
        <v>0</v>
      </c>
      <c r="CT61" s="225">
        <f>IFERROR(SUM($BI61:BJ61)/SUM($AW61:AX61),0)</f>
        <v>0</v>
      </c>
      <c r="CU61" s="225">
        <f>IFERROR(SUM($BI61:BK61)/SUM($AW61:AY61),0)</f>
        <v>1</v>
      </c>
      <c r="CV61" s="225">
        <f>IFERROR(SUM($BI61:BL61)/SUM($AW61:AZ61),0)</f>
        <v>1</v>
      </c>
      <c r="CW61" s="225">
        <f>IFERROR(SUM($BI61:BM61)/SUM($AW61:BA61),0)</f>
        <v>1</v>
      </c>
      <c r="CX61" s="225">
        <f>IFERROR(SUM($BI61:BN61)/SUM($AW61:BB61),0)</f>
        <v>1</v>
      </c>
      <c r="CY61" s="225">
        <f>IFERROR(SUM($BI61:BO61)/SUM($AW61:BC61),0)</f>
        <v>1</v>
      </c>
      <c r="CZ61" s="225">
        <f>IFERROR(SUM($BI61:BP61)/SUM($AW61:BD61),0)</f>
        <v>1</v>
      </c>
      <c r="DA61" s="225">
        <f>IFERROR(SUM($BI61:BQ61)/SUM($AW61:BE61),0)</f>
        <v>0.66666666666666663</v>
      </c>
      <c r="DB61" s="225">
        <f>IFERROR(SUM($BI61:BR61)/SUM($AW61:BF61),0)</f>
        <v>0.66666666666666663</v>
      </c>
      <c r="DC61" s="225">
        <f>IFERROR(SUM($BI61:BS61)/SUM($AW61:BG61),0)</f>
        <v>0.66666666666666663</v>
      </c>
      <c r="DD61" s="225">
        <f>IFERROR(SUM($BI61:BT61)/SUM($AW61:BH61),0)</f>
        <v>0.5</v>
      </c>
      <c r="DE61" s="250" t="str">
        <f>IFERROR(SUM(BI61)/SUM(AW61),"0")</f>
        <v>0</v>
      </c>
      <c r="DF61" s="251" t="str">
        <f>IFERROR(SUM($BI61:BJ61)/SUM($AW61:AX61),"0")</f>
        <v>0</v>
      </c>
      <c r="DG61" s="252">
        <f>IFERROR(SUM($BI61:BK61)/SUM($AW61:AY61),"0")</f>
        <v>1</v>
      </c>
      <c r="DH61" s="252">
        <f>IFERROR(SUM($BI61:BL61)/SUM($AW61:AZ61),"0")</f>
        <v>1</v>
      </c>
      <c r="DI61" s="252">
        <f>IFERROR(SUM($BI61:BM61)/SUM($AW61:BA61),"0")</f>
        <v>1</v>
      </c>
      <c r="DJ61" s="252">
        <f>IFERROR(SUM($BI61:BN61)/SUM($AW61:BB61),"0")</f>
        <v>1</v>
      </c>
      <c r="DK61" s="252">
        <f>IFERROR(SUM($BI61:BO61)/SUM($AW61:BC61),"0")</f>
        <v>1</v>
      </c>
      <c r="DL61" s="252">
        <f>IFERROR(SUM($BI61:BP61)/SUM($AW61:BD61),"0")</f>
        <v>1</v>
      </c>
      <c r="DM61" s="252">
        <f>IFERROR(SUM($BI61:BQ61)/SUM($AW61:BE61),"0")</f>
        <v>0.66666666666666663</v>
      </c>
      <c r="DN61" s="252">
        <f>IFERROR(SUM($BI61:BR61)/SUM($AW61:BF61),"0")</f>
        <v>0.66666666666666663</v>
      </c>
      <c r="DO61" s="252">
        <f>IFERROR(SUM($BI61:BS61)/SUM($AW61:BG61),"0")</f>
        <v>0.66666666666666663</v>
      </c>
      <c r="DP61" s="253">
        <f>IFERROR(SUM($BI61:BT61)/SUM($AW61:BH61),"0")</f>
        <v>0.5</v>
      </c>
    </row>
    <row r="62" spans="1:120" ht="39" customHeight="1" x14ac:dyDescent="0.25">
      <c r="A62" s="383" t="s">
        <v>1159</v>
      </c>
      <c r="B62" s="161" t="s">
        <v>703</v>
      </c>
      <c r="C62" s="176"/>
      <c r="D62" s="161" t="s">
        <v>319</v>
      </c>
      <c r="E62" s="162" t="s">
        <v>443</v>
      </c>
      <c r="F62" s="163" t="s">
        <v>1158</v>
      </c>
      <c r="G62" s="161" t="s">
        <v>703</v>
      </c>
      <c r="H62" s="164" t="s">
        <v>1196</v>
      </c>
      <c r="I62" s="166" t="s">
        <v>357</v>
      </c>
      <c r="J62" s="180" t="s">
        <v>801</v>
      </c>
      <c r="K62" s="161" t="s">
        <v>181</v>
      </c>
      <c r="L62" s="164" t="s">
        <v>448</v>
      </c>
      <c r="M62" s="164" t="s">
        <v>406</v>
      </c>
      <c r="N62" s="164"/>
      <c r="O62" s="164"/>
      <c r="P62" s="164" t="s">
        <v>1160</v>
      </c>
      <c r="Q62" s="164" t="s">
        <v>1161</v>
      </c>
      <c r="R62" s="164" t="s">
        <v>1162</v>
      </c>
      <c r="S62" s="164" t="s">
        <v>1163</v>
      </c>
      <c r="T62" s="164" t="s">
        <v>1164</v>
      </c>
      <c r="U62" s="164" t="s">
        <v>1165</v>
      </c>
      <c r="V62" s="164" t="s">
        <v>1166</v>
      </c>
      <c r="W62" s="164" t="s">
        <v>1166</v>
      </c>
      <c r="X62" s="178" t="s">
        <v>399</v>
      </c>
      <c r="Y62" s="164" t="s">
        <v>399</v>
      </c>
      <c r="Z62" s="166" t="s">
        <v>193</v>
      </c>
      <c r="AA62" s="164" t="s">
        <v>194</v>
      </c>
      <c r="AB62" s="176" t="s">
        <v>1093</v>
      </c>
      <c r="AC62" s="164" t="s">
        <v>714</v>
      </c>
      <c r="AD62" s="164" t="s">
        <v>715</v>
      </c>
      <c r="AE62" s="164" t="s">
        <v>716</v>
      </c>
      <c r="AF62" s="164">
        <v>0</v>
      </c>
      <c r="AG62" s="173">
        <v>0</v>
      </c>
      <c r="AH62" s="441">
        <v>0</v>
      </c>
      <c r="AI62" s="305">
        <v>0</v>
      </c>
      <c r="AJ62" s="173">
        <v>70</v>
      </c>
      <c r="AK62" s="173">
        <v>0</v>
      </c>
      <c r="AL62" s="181">
        <v>0</v>
      </c>
      <c r="AM62" s="173">
        <v>0</v>
      </c>
      <c r="AN62" s="443">
        <v>0</v>
      </c>
      <c r="AO62" s="434">
        <v>0</v>
      </c>
      <c r="AP62" s="512">
        <v>90</v>
      </c>
      <c r="AQ62" s="191">
        <v>0</v>
      </c>
      <c r="AR62" s="221" t="str">
        <f t="shared" si="11"/>
        <v>0</v>
      </c>
      <c r="AS62" s="221" t="str">
        <f t="shared" si="13"/>
        <v>0</v>
      </c>
      <c r="AT62" s="221" t="str">
        <f t="shared" si="12"/>
        <v>0</v>
      </c>
      <c r="AU62" s="221">
        <f t="shared" si="14"/>
        <v>1.2857142857142858</v>
      </c>
      <c r="AV62" s="221" t="str">
        <f t="shared" si="15"/>
        <v>0</v>
      </c>
      <c r="AW62" s="187">
        <v>0</v>
      </c>
      <c r="AX62" s="187">
        <v>0</v>
      </c>
      <c r="AY62" s="473">
        <v>0</v>
      </c>
      <c r="AZ62" s="187">
        <v>0</v>
      </c>
      <c r="BA62" s="187">
        <v>0</v>
      </c>
      <c r="BB62" s="473">
        <v>0.7</v>
      </c>
      <c r="BC62" s="187">
        <v>0</v>
      </c>
      <c r="BD62" s="187">
        <v>0</v>
      </c>
      <c r="BE62" s="473">
        <v>0</v>
      </c>
      <c r="BF62" s="187">
        <v>0</v>
      </c>
      <c r="BG62" s="187">
        <v>0</v>
      </c>
      <c r="BH62" s="473">
        <v>0.7</v>
      </c>
      <c r="BI62" s="465">
        <v>0</v>
      </c>
      <c r="BJ62" s="465">
        <v>0</v>
      </c>
      <c r="BK62" s="465">
        <v>0</v>
      </c>
      <c r="BL62" s="465">
        <v>0</v>
      </c>
      <c r="BM62" s="465">
        <v>0</v>
      </c>
      <c r="BN62" s="510">
        <v>0.9</v>
      </c>
      <c r="BO62" s="465">
        <v>0</v>
      </c>
      <c r="BP62" s="465">
        <v>0</v>
      </c>
      <c r="BQ62" s="465">
        <v>0</v>
      </c>
      <c r="BR62" s="465">
        <v>0</v>
      </c>
      <c r="BS62" s="465">
        <v>0</v>
      </c>
      <c r="BT62" s="465">
        <v>0</v>
      </c>
      <c r="BU62" s="179" t="s">
        <v>1278</v>
      </c>
      <c r="BV62" s="179" t="s">
        <v>1278</v>
      </c>
      <c r="BW62" s="179" t="s">
        <v>1308</v>
      </c>
      <c r="BX62" s="179" t="s">
        <v>1278</v>
      </c>
      <c r="BY62" s="179" t="s">
        <v>1278</v>
      </c>
      <c r="BZ62" s="179" t="s">
        <v>1411</v>
      </c>
      <c r="CA62" s="179" t="s">
        <v>1278</v>
      </c>
      <c r="CB62" s="179" t="s">
        <v>1278</v>
      </c>
      <c r="CC62" s="179" t="s">
        <v>1278</v>
      </c>
      <c r="CD62" s="179" t="s">
        <v>1278</v>
      </c>
      <c r="CE62" s="179" t="s">
        <v>1278</v>
      </c>
      <c r="CF62" s="179"/>
      <c r="CG62" s="184"/>
      <c r="CH62" s="504">
        <f t="shared" si="9"/>
        <v>-20</v>
      </c>
      <c r="CI62" s="176" t="s">
        <v>1413</v>
      </c>
      <c r="CJ62" s="222">
        <v>0</v>
      </c>
      <c r="CK62" s="222">
        <v>0.59</v>
      </c>
      <c r="CL62" s="222">
        <v>0.6</v>
      </c>
      <c r="CM62" s="222">
        <v>0.84</v>
      </c>
      <c r="CN62" s="222">
        <v>0.85</v>
      </c>
      <c r="CO62" s="222">
        <v>1</v>
      </c>
      <c r="CP62" s="229"/>
      <c r="CQ62" s="223" t="str">
        <f t="shared" si="16"/>
        <v>TÁCTICO</v>
      </c>
      <c r="CR62" s="224">
        <f t="shared" si="17"/>
        <v>0.6428571428571429</v>
      </c>
      <c r="CS62" s="225">
        <f>IFERROR(SUM($BI62:BI62)/SUM($AW62:AW62),0)</f>
        <v>0</v>
      </c>
      <c r="CT62" s="225">
        <f>IFERROR(SUM($BI62:BJ62)/SUM($AW62:AX62),0)</f>
        <v>0</v>
      </c>
      <c r="CU62" s="225">
        <f>IFERROR(SUM($BI62:BK62)/SUM($AW62:AY62),0)</f>
        <v>0</v>
      </c>
      <c r="CV62" s="225">
        <f>IFERROR(SUM($BI62:BL62)/SUM($AW62:AZ62),0)</f>
        <v>0</v>
      </c>
      <c r="CW62" s="225">
        <f>IFERROR(SUM($BI62:BM62)/SUM($AW62:BA62),0)</f>
        <v>0</v>
      </c>
      <c r="CX62" s="225">
        <f>IFERROR(SUM($BI62:BN62)/SUM($AW62:BB62),0)</f>
        <v>1.2857142857142858</v>
      </c>
      <c r="CY62" s="225">
        <f>IFERROR(SUM($BI62:BO62)/SUM($AW62:BC62),0)</f>
        <v>1.2857142857142858</v>
      </c>
      <c r="CZ62" s="225">
        <f>IFERROR(SUM($BI62:BP62)/SUM($AW62:BD62),0)</f>
        <v>1.2857142857142858</v>
      </c>
      <c r="DA62" s="225">
        <f>IFERROR(SUM($BI62:BQ62)/SUM($AW62:BE62),0)</f>
        <v>1.2857142857142858</v>
      </c>
      <c r="DB62" s="225">
        <f>IFERROR(SUM($BI62:BR62)/SUM($AW62:BF62),0)</f>
        <v>1.2857142857142858</v>
      </c>
      <c r="DC62" s="225">
        <f>IFERROR(SUM($BI62:BS62)/SUM($AW62:BG62),0)</f>
        <v>1.2857142857142858</v>
      </c>
      <c r="DD62" s="225">
        <f>IFERROR(SUM($BI62:BT62)/SUM($AW62:BH62),0)</f>
        <v>0.6428571428571429</v>
      </c>
      <c r="DE62" s="250" t="str">
        <f t="shared" si="10"/>
        <v>0</v>
      </c>
      <c r="DF62" s="251" t="str">
        <f>IFERROR(SUM($BI62:BJ62)/SUM($AW62:AX62),"0")</f>
        <v>0</v>
      </c>
      <c r="DG62" s="252" t="str">
        <f>IFERROR(SUM($BI62:BK62)/SUM($AW62:AY62),"0")</f>
        <v>0</v>
      </c>
      <c r="DH62" s="252" t="str">
        <f>IFERROR(SUM($BI62:BL62)/SUM($AW62:AZ62),"0")</f>
        <v>0</v>
      </c>
      <c r="DI62" s="252" t="str">
        <f>IFERROR(SUM($BI62:BM62)/SUM($AW62:BA62),"0")</f>
        <v>0</v>
      </c>
      <c r="DJ62" s="252">
        <f>IFERROR(SUM($BI62:BN62)/SUM($AW62:BB62),"0")</f>
        <v>1.2857142857142858</v>
      </c>
      <c r="DK62" s="252">
        <f>IFERROR(SUM($BI62:BO62)/SUM($AW62:BC62),"0")</f>
        <v>1.2857142857142858</v>
      </c>
      <c r="DL62" s="252">
        <f>IFERROR(SUM($BI62:BP62)/SUM($AW62:BD62),"0")</f>
        <v>1.2857142857142858</v>
      </c>
      <c r="DM62" s="252">
        <f>IFERROR(SUM($BI62:BQ62)/SUM($AW62:BE62),"0")</f>
        <v>1.2857142857142858</v>
      </c>
      <c r="DN62" s="252">
        <f>IFERROR(SUM($BI62:BR62)/SUM($AW62:BF62),"0")</f>
        <v>1.2857142857142858</v>
      </c>
      <c r="DO62" s="252">
        <f>IFERROR(SUM($BI62:BS62)/SUM($AW62:BG62),"0")</f>
        <v>1.2857142857142858</v>
      </c>
      <c r="DP62" s="253">
        <f>IFERROR(SUM($BI62:BT62)/SUM($AW62:BH62),"0")</f>
        <v>0.6428571428571429</v>
      </c>
    </row>
    <row r="63" spans="1:120" ht="39" customHeight="1" x14ac:dyDescent="0.25">
      <c r="A63" s="182" t="s">
        <v>833</v>
      </c>
      <c r="B63" s="161" t="s">
        <v>703</v>
      </c>
      <c r="C63" s="176" t="s">
        <v>834</v>
      </c>
      <c r="D63" s="161" t="s">
        <v>470</v>
      </c>
      <c r="E63" s="162" t="s">
        <v>443</v>
      </c>
      <c r="F63" s="163" t="s">
        <v>835</v>
      </c>
      <c r="G63" s="161" t="s">
        <v>703</v>
      </c>
      <c r="H63" s="164" t="s">
        <v>836</v>
      </c>
      <c r="I63" s="166" t="s">
        <v>357</v>
      </c>
      <c r="J63" s="176" t="s">
        <v>825</v>
      </c>
      <c r="K63" s="161" t="s">
        <v>181</v>
      </c>
      <c r="L63" s="164" t="s">
        <v>448</v>
      </c>
      <c r="M63" s="164" t="s">
        <v>406</v>
      </c>
      <c r="N63" s="164"/>
      <c r="O63" s="164"/>
      <c r="P63" s="164" t="s">
        <v>837</v>
      </c>
      <c r="Q63" s="164" t="s">
        <v>838</v>
      </c>
      <c r="R63" s="164" t="s">
        <v>839</v>
      </c>
      <c r="S63" s="164" t="s">
        <v>840</v>
      </c>
      <c r="T63" s="164" t="s">
        <v>841</v>
      </c>
      <c r="U63" s="164" t="s">
        <v>842</v>
      </c>
      <c r="V63" s="164" t="s">
        <v>843</v>
      </c>
      <c r="W63" s="164" t="s">
        <v>843</v>
      </c>
      <c r="X63" s="178" t="s">
        <v>399</v>
      </c>
      <c r="Y63" s="178" t="s">
        <v>399</v>
      </c>
      <c r="Z63" s="166" t="s">
        <v>193</v>
      </c>
      <c r="AA63" s="164" t="s">
        <v>832</v>
      </c>
      <c r="AB63" s="176" t="s">
        <v>260</v>
      </c>
      <c r="AC63" s="164" t="s">
        <v>714</v>
      </c>
      <c r="AD63" s="164" t="s">
        <v>715</v>
      </c>
      <c r="AE63" s="164" t="s">
        <v>716</v>
      </c>
      <c r="AF63" s="164">
        <v>0</v>
      </c>
      <c r="AG63" s="173">
        <v>0</v>
      </c>
      <c r="AH63" s="441">
        <v>90</v>
      </c>
      <c r="AI63" s="305">
        <v>100</v>
      </c>
      <c r="AJ63" s="173">
        <v>90</v>
      </c>
      <c r="AK63" s="173"/>
      <c r="AL63" s="173">
        <v>0</v>
      </c>
      <c r="AM63" s="171">
        <v>0</v>
      </c>
      <c r="AN63" s="429">
        <v>100</v>
      </c>
      <c r="AO63" s="432">
        <v>100</v>
      </c>
      <c r="AP63" s="511">
        <v>95.25</v>
      </c>
      <c r="AQ63" s="191">
        <v>0</v>
      </c>
      <c r="AR63" s="221" t="str">
        <f t="shared" si="11"/>
        <v>0</v>
      </c>
      <c r="AS63" s="221" t="str">
        <f t="shared" si="13"/>
        <v>0</v>
      </c>
      <c r="AT63" s="221">
        <f t="shared" si="12"/>
        <v>1</v>
      </c>
      <c r="AU63" s="221">
        <f t="shared" si="14"/>
        <v>1.0583333333333333</v>
      </c>
      <c r="AV63" s="221" t="str">
        <f t="shared" si="15"/>
        <v>0</v>
      </c>
      <c r="AW63" s="187">
        <v>0</v>
      </c>
      <c r="AX63" s="187">
        <v>0</v>
      </c>
      <c r="AY63" s="473">
        <v>0.9</v>
      </c>
      <c r="AZ63" s="187">
        <v>0</v>
      </c>
      <c r="BA63" s="187">
        <v>0</v>
      </c>
      <c r="BB63" s="473">
        <v>0.9</v>
      </c>
      <c r="BC63" s="187">
        <v>0</v>
      </c>
      <c r="BD63" s="187">
        <v>0</v>
      </c>
      <c r="BE63" s="473">
        <v>0.9</v>
      </c>
      <c r="BF63" s="187">
        <v>0</v>
      </c>
      <c r="BG63" s="187">
        <v>0</v>
      </c>
      <c r="BH63" s="473">
        <v>0.9</v>
      </c>
      <c r="BI63" s="465">
        <v>0</v>
      </c>
      <c r="BJ63" s="465">
        <v>0</v>
      </c>
      <c r="BK63" s="465">
        <v>1</v>
      </c>
      <c r="BL63" s="465">
        <v>0</v>
      </c>
      <c r="BM63" s="465">
        <v>0</v>
      </c>
      <c r="BN63" s="506">
        <v>0.90500000000000003</v>
      </c>
      <c r="BO63" s="465">
        <v>0</v>
      </c>
      <c r="BP63" s="465">
        <v>0</v>
      </c>
      <c r="BQ63" s="465">
        <v>0</v>
      </c>
      <c r="BR63" s="465">
        <v>0</v>
      </c>
      <c r="BS63" s="465">
        <v>0</v>
      </c>
      <c r="BT63" s="465">
        <v>0</v>
      </c>
      <c r="BU63" s="179" t="s">
        <v>1269</v>
      </c>
      <c r="BV63" s="179" t="s">
        <v>1269</v>
      </c>
      <c r="BW63" s="164" t="s">
        <v>1309</v>
      </c>
      <c r="BX63" s="179" t="s">
        <v>1269</v>
      </c>
      <c r="BY63" s="179" t="s">
        <v>1269</v>
      </c>
      <c r="BZ63" s="179" t="s">
        <v>1412</v>
      </c>
      <c r="CA63" s="179" t="s">
        <v>1269</v>
      </c>
      <c r="CB63" s="179" t="s">
        <v>1269</v>
      </c>
      <c r="CC63" s="179"/>
      <c r="CD63" s="179" t="s">
        <v>1269</v>
      </c>
      <c r="CE63" s="179" t="s">
        <v>1269</v>
      </c>
      <c r="CF63" s="179"/>
      <c r="CG63" s="230"/>
      <c r="CH63" s="504">
        <f t="shared" si="9"/>
        <v>-5.25</v>
      </c>
      <c r="CI63" s="176" t="s">
        <v>1413</v>
      </c>
      <c r="CJ63" s="222">
        <v>0</v>
      </c>
      <c r="CK63" s="222">
        <v>0.5</v>
      </c>
      <c r="CL63" s="222">
        <v>0.51</v>
      </c>
      <c r="CM63" s="222">
        <v>0.75</v>
      </c>
      <c r="CN63" s="222">
        <v>0.76</v>
      </c>
      <c r="CO63" s="222">
        <v>1</v>
      </c>
      <c r="CP63" s="229"/>
      <c r="CQ63" s="223" t="str">
        <f t="shared" si="16"/>
        <v>OPERATIVO</v>
      </c>
      <c r="CR63" s="224">
        <f t="shared" si="17"/>
        <v>0.52916666666666667</v>
      </c>
      <c r="CS63" s="225">
        <f>IFERROR(SUM($BI63:BI63)/SUM($AW63:AW63),0)</f>
        <v>0</v>
      </c>
      <c r="CT63" s="225">
        <f>IFERROR(SUM($BI63:BJ63)/SUM($AW63:AX63),0)</f>
        <v>0</v>
      </c>
      <c r="CU63" s="225">
        <f>IFERROR(SUM($BI63:BK63)/SUM($AW63:AY63),0)</f>
        <v>1.1111111111111112</v>
      </c>
      <c r="CV63" s="225">
        <f>IFERROR(SUM($BI63:BL63)/SUM($AW63:AZ63),0)</f>
        <v>1.1111111111111112</v>
      </c>
      <c r="CW63" s="225">
        <f>IFERROR(SUM($BI63:BM63)/SUM($AW63:BA63),0)</f>
        <v>1.1111111111111112</v>
      </c>
      <c r="CX63" s="225">
        <f>IFERROR(SUM($BI63:BN63)/SUM($AW63:BB63),0)</f>
        <v>1.0583333333333333</v>
      </c>
      <c r="CY63" s="225">
        <f>IFERROR(SUM($BI63:BO63)/SUM($AW63:BC63),0)</f>
        <v>1.0583333333333333</v>
      </c>
      <c r="CZ63" s="225">
        <f>IFERROR(SUM($BI63:BP63)/SUM($AW63:BD63),0)</f>
        <v>1.0583333333333333</v>
      </c>
      <c r="DA63" s="225">
        <f>IFERROR(SUM($BI63:BQ63)/SUM($AW63:BE63),0)</f>
        <v>0.70555555555555549</v>
      </c>
      <c r="DB63" s="225">
        <f>IFERROR(SUM($BI63:BR63)/SUM($AW63:BF63),0)</f>
        <v>0.70555555555555549</v>
      </c>
      <c r="DC63" s="225">
        <f>IFERROR(SUM($BI63:BS63)/SUM($AW63:BG63),0)</f>
        <v>0.70555555555555549</v>
      </c>
      <c r="DD63" s="225">
        <f>IFERROR(SUM($BI63:BT63)/SUM($AW63:BH63),0)</f>
        <v>0.52916666666666667</v>
      </c>
      <c r="DE63" s="250" t="str">
        <f t="shared" si="10"/>
        <v>0</v>
      </c>
      <c r="DF63" s="251" t="str">
        <f>IFERROR(SUM($BI63:BJ63)/SUM($AW63:AX63),"0")</f>
        <v>0</v>
      </c>
      <c r="DG63" s="252">
        <f>IFERROR(SUM($BI63:BK63)/SUM($AW63:AY63),"0")</f>
        <v>1.1111111111111112</v>
      </c>
      <c r="DH63" s="252">
        <f>IFERROR(SUM($BI63:BL63)/SUM($AW63:AZ63),"0")</f>
        <v>1.1111111111111112</v>
      </c>
      <c r="DI63" s="252">
        <f>IFERROR(SUM($BI63:BM63)/SUM($AW63:BA63),"0")</f>
        <v>1.1111111111111112</v>
      </c>
      <c r="DJ63" s="252">
        <f>IFERROR(SUM($BI63:BN63)/SUM($AW63:BB63),"0")</f>
        <v>1.0583333333333333</v>
      </c>
      <c r="DK63" s="252">
        <f>IFERROR(SUM($BI63:BO63)/SUM($AW63:BC63),"0")</f>
        <v>1.0583333333333333</v>
      </c>
      <c r="DL63" s="252">
        <f>IFERROR(SUM($BI63:BP63)/SUM($AW63:BD63),"0")</f>
        <v>1.0583333333333333</v>
      </c>
      <c r="DM63" s="252">
        <f>IFERROR(SUM($BI63:BQ63)/SUM($AW63:BE63),"0")</f>
        <v>0.70555555555555549</v>
      </c>
      <c r="DN63" s="252">
        <f>IFERROR(SUM($BI63:BR63)/SUM($AW63:BF63),"0")</f>
        <v>0.70555555555555549</v>
      </c>
      <c r="DO63" s="252">
        <f>IFERROR(SUM($BI63:BS63)/SUM($AW63:BG63),"0")</f>
        <v>0.70555555555555549</v>
      </c>
      <c r="DP63" s="253">
        <f>IFERROR(SUM($BI63:BT63)/SUM($AW63:BH63),"0")</f>
        <v>0.52916666666666667</v>
      </c>
    </row>
    <row r="64" spans="1:120" ht="39" customHeight="1" x14ac:dyDescent="0.25">
      <c r="A64" s="177" t="s">
        <v>1232</v>
      </c>
      <c r="B64" s="161" t="s">
        <v>386</v>
      </c>
      <c r="C64" s="161" t="s">
        <v>844</v>
      </c>
      <c r="D64" s="161" t="s">
        <v>470</v>
      </c>
      <c r="E64" s="162" t="s">
        <v>1131</v>
      </c>
      <c r="F64" s="189" t="s">
        <v>845</v>
      </c>
      <c r="G64" s="161" t="s">
        <v>386</v>
      </c>
      <c r="H64" s="176" t="s">
        <v>846</v>
      </c>
      <c r="I64" s="164" t="s">
        <v>357</v>
      </c>
      <c r="J64" s="176" t="s">
        <v>391</v>
      </c>
      <c r="K64" s="176" t="s">
        <v>181</v>
      </c>
      <c r="L64" s="176" t="s">
        <v>847</v>
      </c>
      <c r="M64" s="176"/>
      <c r="N64" s="176"/>
      <c r="O64" s="176"/>
      <c r="P64" s="176" t="s">
        <v>848</v>
      </c>
      <c r="Q64" s="176" t="s">
        <v>849</v>
      </c>
      <c r="R64" s="176" t="s">
        <v>850</v>
      </c>
      <c r="S64" s="176" t="s">
        <v>851</v>
      </c>
      <c r="T64" s="176" t="s">
        <v>852</v>
      </c>
      <c r="U64" s="176" t="s">
        <v>853</v>
      </c>
      <c r="V64" s="176" t="s">
        <v>854</v>
      </c>
      <c r="W64" s="176" t="s">
        <v>854</v>
      </c>
      <c r="X64" s="176">
        <v>0</v>
      </c>
      <c r="Y64" s="176">
        <v>0</v>
      </c>
      <c r="Z64" s="166" t="s">
        <v>193</v>
      </c>
      <c r="AA64" s="176" t="s">
        <v>456</v>
      </c>
      <c r="AB64" s="176" t="s">
        <v>217</v>
      </c>
      <c r="AC64" s="176" t="s">
        <v>438</v>
      </c>
      <c r="AD64" s="176" t="s">
        <v>438</v>
      </c>
      <c r="AE64" s="176" t="s">
        <v>401</v>
      </c>
      <c r="AF64" s="164">
        <v>0</v>
      </c>
      <c r="AG64" s="191">
        <v>80</v>
      </c>
      <c r="AH64" s="428">
        <v>85</v>
      </c>
      <c r="AI64" s="305">
        <v>100</v>
      </c>
      <c r="AJ64" s="191">
        <v>85</v>
      </c>
      <c r="AK64" s="191">
        <v>95</v>
      </c>
      <c r="AL64" s="164">
        <v>0</v>
      </c>
      <c r="AM64" s="171">
        <v>80</v>
      </c>
      <c r="AN64" s="428">
        <v>85</v>
      </c>
      <c r="AO64" s="432">
        <v>100</v>
      </c>
      <c r="AP64" s="512">
        <v>100</v>
      </c>
      <c r="AQ64" s="191">
        <v>0</v>
      </c>
      <c r="AR64" s="123" t="str">
        <f t="shared" si="11"/>
        <v>0</v>
      </c>
      <c r="AS64" s="123">
        <f t="shared" si="13"/>
        <v>1</v>
      </c>
      <c r="AT64" s="123">
        <f t="shared" si="12"/>
        <v>1</v>
      </c>
      <c r="AU64" s="123">
        <f t="shared" si="14"/>
        <v>1.1764705882352942</v>
      </c>
      <c r="AV64" s="123">
        <f t="shared" si="15"/>
        <v>0</v>
      </c>
      <c r="AW64" s="187">
        <v>0</v>
      </c>
      <c r="AX64" s="187">
        <v>0</v>
      </c>
      <c r="AY64" s="473">
        <v>0.85</v>
      </c>
      <c r="AZ64" s="187">
        <v>0</v>
      </c>
      <c r="BA64" s="187">
        <v>0</v>
      </c>
      <c r="BB64" s="473">
        <v>0.85</v>
      </c>
      <c r="BC64" s="187">
        <v>0</v>
      </c>
      <c r="BD64" s="187">
        <v>0</v>
      </c>
      <c r="BE64" s="473">
        <v>0.85</v>
      </c>
      <c r="BF64" s="187">
        <v>0</v>
      </c>
      <c r="BG64" s="187">
        <v>0</v>
      </c>
      <c r="BH64" s="473">
        <v>0.85</v>
      </c>
      <c r="BI64" s="465">
        <v>0</v>
      </c>
      <c r="BJ64" s="465">
        <v>0</v>
      </c>
      <c r="BK64" s="465">
        <v>1</v>
      </c>
      <c r="BL64" s="465">
        <v>0</v>
      </c>
      <c r="BM64" s="465">
        <v>0</v>
      </c>
      <c r="BN64" s="530">
        <v>1</v>
      </c>
      <c r="BO64" s="465">
        <v>0</v>
      </c>
      <c r="BP64" s="465">
        <v>0</v>
      </c>
      <c r="BQ64" s="465">
        <v>0</v>
      </c>
      <c r="BR64" s="465">
        <v>0</v>
      </c>
      <c r="BS64" s="465">
        <v>0</v>
      </c>
      <c r="BT64" s="465">
        <v>0</v>
      </c>
      <c r="BU64" s="179" t="s">
        <v>1269</v>
      </c>
      <c r="BV64" s="179" t="s">
        <v>1269</v>
      </c>
      <c r="BW64" s="179" t="s">
        <v>1310</v>
      </c>
      <c r="BX64" s="179" t="s">
        <v>1269</v>
      </c>
      <c r="BY64" s="179" t="s">
        <v>1269</v>
      </c>
      <c r="BZ64" s="179" t="s">
        <v>1416</v>
      </c>
      <c r="CA64" s="179" t="s">
        <v>1269</v>
      </c>
      <c r="CB64" s="179" t="s">
        <v>1269</v>
      </c>
      <c r="CC64" s="179"/>
      <c r="CD64" s="179" t="s">
        <v>1269</v>
      </c>
      <c r="CE64" s="179" t="s">
        <v>1269</v>
      </c>
      <c r="CF64" s="164"/>
      <c r="CG64" s="96"/>
      <c r="CH64" s="504">
        <f t="shared" si="9"/>
        <v>-15</v>
      </c>
      <c r="CI64" s="74" t="s">
        <v>1413</v>
      </c>
      <c r="CJ64" s="222">
        <v>0</v>
      </c>
      <c r="CK64" s="222">
        <v>0.5</v>
      </c>
      <c r="CL64" s="222">
        <v>0.51</v>
      </c>
      <c r="CM64" s="222">
        <v>0.75</v>
      </c>
      <c r="CN64" s="222">
        <v>0.76</v>
      </c>
      <c r="CO64" s="222">
        <v>1</v>
      </c>
      <c r="CP64" s="213"/>
      <c r="CQ64" s="208" t="str">
        <f t="shared" si="16"/>
        <v>OPERATIVO</v>
      </c>
      <c r="CR64" s="215">
        <f t="shared" si="17"/>
        <v>0.58823529411764708</v>
      </c>
      <c r="CS64" s="216">
        <f>IFERROR(SUM($BI64:BI64)/SUM($AW64:AW64),0)</f>
        <v>0</v>
      </c>
      <c r="CT64" s="216">
        <f>IFERROR(SUM($BI64:BJ64)/SUM($AW64:AX64),0)</f>
        <v>0</v>
      </c>
      <c r="CU64" s="216">
        <f>IFERROR(SUM($BI64:BK64)/SUM($AW64:AY64),0)</f>
        <v>1.1764705882352942</v>
      </c>
      <c r="CV64" s="216">
        <f>IFERROR(SUM($BI64:BL64)/SUM($AW64:AZ64),0)</f>
        <v>1.1764705882352942</v>
      </c>
      <c r="CW64" s="216">
        <f>IFERROR(SUM($BI64:BM64)/SUM($AW64:BA64),0)</f>
        <v>1.1764705882352942</v>
      </c>
      <c r="CX64" s="216">
        <f>IFERROR(SUM($BI64:BN64)/SUM($AW64:BB64),0)</f>
        <v>1.1764705882352942</v>
      </c>
      <c r="CY64" s="216">
        <f>IFERROR(SUM($BI64:BO64)/SUM($AW64:BC64),0)</f>
        <v>1.1764705882352942</v>
      </c>
      <c r="CZ64" s="216">
        <f>IFERROR(SUM($BI64:BP64)/SUM($AW64:BD64),0)</f>
        <v>1.1764705882352942</v>
      </c>
      <c r="DA64" s="216">
        <f>IFERROR(SUM($BI64:BQ64)/SUM($AW64:BE64),0)</f>
        <v>0.78431372549019618</v>
      </c>
      <c r="DB64" s="216">
        <f>IFERROR(SUM($BI64:BR64)/SUM($AW64:BF64),0)</f>
        <v>0.78431372549019618</v>
      </c>
      <c r="DC64" s="216">
        <f>IFERROR(SUM($BI64:BS64)/SUM($AW64:BG64),0)</f>
        <v>0.78431372549019618</v>
      </c>
      <c r="DD64" s="216">
        <f>IFERROR(SUM($BI64:BT64)/SUM($AW64:BH64),0)</f>
        <v>0.58823529411764708</v>
      </c>
      <c r="DE64" s="250" t="str">
        <f t="shared" si="10"/>
        <v>0</v>
      </c>
      <c r="DF64" s="251" t="str">
        <f>IFERROR(SUM($BI64:BJ64)/SUM($AW64:AX64),"0")</f>
        <v>0</v>
      </c>
      <c r="DG64" s="252">
        <f>IFERROR(SUM($BI64:BK64)/SUM($AW64:AY64),"0")</f>
        <v>1.1764705882352942</v>
      </c>
      <c r="DH64" s="252">
        <f>IFERROR(SUM($BI64:BL64)/SUM($AW64:AZ64),"0")</f>
        <v>1.1764705882352942</v>
      </c>
      <c r="DI64" s="252">
        <f>IFERROR(SUM($BI64:BM64)/SUM($AW64:BA64),"0")</f>
        <v>1.1764705882352942</v>
      </c>
      <c r="DJ64" s="252">
        <f>IFERROR(SUM($BI64:BN64)/SUM($AW64:BB64),"0")</f>
        <v>1.1764705882352942</v>
      </c>
      <c r="DK64" s="252">
        <f>IFERROR(SUM($BI64:BO64)/SUM($AW64:BC64),"0")</f>
        <v>1.1764705882352942</v>
      </c>
      <c r="DL64" s="252">
        <f>IFERROR(SUM($BI64:BP64)/SUM($AW64:BD64),"0")</f>
        <v>1.1764705882352942</v>
      </c>
      <c r="DM64" s="252">
        <f>IFERROR(SUM($BI64:BQ64)/SUM($AW64:BE64),"0")</f>
        <v>0.78431372549019618</v>
      </c>
      <c r="DN64" s="252">
        <f>IFERROR(SUM($BI64:BR64)/SUM($AW64:BF64),"0")</f>
        <v>0.78431372549019618</v>
      </c>
      <c r="DO64" s="252">
        <f>IFERROR(SUM($BI64:BS64)/SUM($AW64:BG64),"0")</f>
        <v>0.78431372549019618</v>
      </c>
      <c r="DP64" s="253">
        <f>IFERROR(SUM($BI64:BT64)/SUM($AW64:BH64),"0")</f>
        <v>0.58823529411764708</v>
      </c>
    </row>
    <row r="65" spans="1:120" ht="39" customHeight="1" x14ac:dyDescent="0.25">
      <c r="A65" s="177" t="s">
        <v>1232</v>
      </c>
      <c r="B65" s="161" t="s">
        <v>386</v>
      </c>
      <c r="C65" s="161" t="s">
        <v>855</v>
      </c>
      <c r="D65" s="161" t="s">
        <v>470</v>
      </c>
      <c r="E65" s="162" t="s">
        <v>1131</v>
      </c>
      <c r="F65" s="189" t="s">
        <v>856</v>
      </c>
      <c r="G65" s="161" t="s">
        <v>386</v>
      </c>
      <c r="H65" s="176" t="s">
        <v>857</v>
      </c>
      <c r="I65" s="164" t="s">
        <v>357</v>
      </c>
      <c r="J65" s="176" t="s">
        <v>391</v>
      </c>
      <c r="K65" s="176" t="s">
        <v>181</v>
      </c>
      <c r="L65" s="176" t="s">
        <v>847</v>
      </c>
      <c r="M65" s="176"/>
      <c r="N65" s="176"/>
      <c r="O65" s="176"/>
      <c r="P65" s="176" t="s">
        <v>858</v>
      </c>
      <c r="Q65" s="176" t="s">
        <v>859</v>
      </c>
      <c r="R65" s="176" t="s">
        <v>860</v>
      </c>
      <c r="S65" s="176" t="s">
        <v>861</v>
      </c>
      <c r="T65" s="176" t="s">
        <v>862</v>
      </c>
      <c r="U65" s="176" t="s">
        <v>863</v>
      </c>
      <c r="V65" s="176" t="s">
        <v>864</v>
      </c>
      <c r="W65" s="176" t="s">
        <v>865</v>
      </c>
      <c r="X65" s="176">
        <v>0</v>
      </c>
      <c r="Y65" s="176">
        <v>0</v>
      </c>
      <c r="Z65" s="166" t="s">
        <v>329</v>
      </c>
      <c r="AA65" s="176" t="s">
        <v>456</v>
      </c>
      <c r="AB65" s="176" t="s">
        <v>217</v>
      </c>
      <c r="AC65" s="176" t="s">
        <v>438</v>
      </c>
      <c r="AD65" s="176" t="s">
        <v>438</v>
      </c>
      <c r="AE65" s="176" t="s">
        <v>401</v>
      </c>
      <c r="AF65" s="164">
        <v>0</v>
      </c>
      <c r="AG65" s="191">
        <v>40</v>
      </c>
      <c r="AH65" s="428">
        <v>10</v>
      </c>
      <c r="AI65" s="305">
        <v>100</v>
      </c>
      <c r="AJ65" s="191">
        <v>30</v>
      </c>
      <c r="AK65" s="191">
        <v>100</v>
      </c>
      <c r="AL65" s="164">
        <v>0</v>
      </c>
      <c r="AM65" s="171">
        <v>40</v>
      </c>
      <c r="AN65" s="428">
        <v>10</v>
      </c>
      <c r="AO65" s="444">
        <v>100</v>
      </c>
      <c r="AP65" s="512">
        <v>17</v>
      </c>
      <c r="AQ65" s="191">
        <v>0</v>
      </c>
      <c r="AR65" s="123" t="str">
        <f t="shared" si="11"/>
        <v>0</v>
      </c>
      <c r="AS65" s="123">
        <f t="shared" si="13"/>
        <v>1</v>
      </c>
      <c r="AT65" s="123">
        <f t="shared" si="12"/>
        <v>1</v>
      </c>
      <c r="AU65" s="123">
        <f t="shared" si="14"/>
        <v>0.56666666666666665</v>
      </c>
      <c r="AV65" s="123">
        <f t="shared" si="15"/>
        <v>0</v>
      </c>
      <c r="AW65" s="187">
        <v>0</v>
      </c>
      <c r="AX65" s="187">
        <v>0</v>
      </c>
      <c r="AY65" s="473">
        <v>7.0000000000000007E-2</v>
      </c>
      <c r="AZ65" s="187">
        <v>0</v>
      </c>
      <c r="BA65" s="187">
        <v>0</v>
      </c>
      <c r="BB65" s="473">
        <v>7.0000000000000007E-2</v>
      </c>
      <c r="BC65" s="187">
        <v>0</v>
      </c>
      <c r="BD65" s="187">
        <v>0</v>
      </c>
      <c r="BE65" s="473">
        <v>7.0000000000000007E-2</v>
      </c>
      <c r="BF65" s="187">
        <v>0</v>
      </c>
      <c r="BG65" s="187">
        <v>0</v>
      </c>
      <c r="BH65" s="473">
        <v>0.09</v>
      </c>
      <c r="BI65" s="465">
        <v>0</v>
      </c>
      <c r="BJ65" s="465">
        <v>0</v>
      </c>
      <c r="BK65" s="465">
        <v>0.1</v>
      </c>
      <c r="BL65" s="465">
        <v>0</v>
      </c>
      <c r="BM65" s="465">
        <v>0</v>
      </c>
      <c r="BN65" s="530">
        <v>7.0000000000000007E-2</v>
      </c>
      <c r="BO65" s="465">
        <v>0</v>
      </c>
      <c r="BP65" s="465">
        <v>0</v>
      </c>
      <c r="BQ65" s="465">
        <v>0</v>
      </c>
      <c r="BR65" s="465">
        <v>0</v>
      </c>
      <c r="BS65" s="465">
        <v>0</v>
      </c>
      <c r="BT65" s="465">
        <v>0</v>
      </c>
      <c r="BU65" s="179" t="s">
        <v>1269</v>
      </c>
      <c r="BV65" s="179" t="s">
        <v>1269</v>
      </c>
      <c r="BW65" s="179" t="s">
        <v>1311</v>
      </c>
      <c r="BX65" s="179" t="s">
        <v>1269</v>
      </c>
      <c r="BY65" s="179" t="s">
        <v>1269</v>
      </c>
      <c r="BZ65" s="179"/>
      <c r="CA65" s="179" t="s">
        <v>1269</v>
      </c>
      <c r="CB65" s="179" t="s">
        <v>1269</v>
      </c>
      <c r="CC65" s="179"/>
      <c r="CD65" s="179" t="s">
        <v>1269</v>
      </c>
      <c r="CE65" s="179" t="s">
        <v>1269</v>
      </c>
      <c r="CF65" s="164"/>
      <c r="CG65" s="96"/>
      <c r="CH65" s="504">
        <f t="shared" si="9"/>
        <v>13</v>
      </c>
      <c r="CI65" s="74" t="s">
        <v>1413</v>
      </c>
      <c r="CJ65" s="74"/>
      <c r="CK65" s="74"/>
      <c r="CL65" s="74"/>
      <c r="CM65" s="74"/>
      <c r="CN65" s="74"/>
      <c r="CO65" s="74"/>
      <c r="CP65" s="213"/>
      <c r="CQ65" s="208" t="str">
        <f t="shared" si="16"/>
        <v>OPERATIVO</v>
      </c>
      <c r="CR65" s="215">
        <f t="shared" si="17"/>
        <v>0.56666666666666665</v>
      </c>
      <c r="CS65" s="216">
        <f>IFERROR(SUM($BI65:BI65)/SUM($AW65:AW65),0)</f>
        <v>0</v>
      </c>
      <c r="CT65" s="216">
        <f>IFERROR(SUM($BI65:BJ65)/SUM($AW65:AX65),0)</f>
        <v>0</v>
      </c>
      <c r="CU65" s="216">
        <f>IFERROR(SUM($BI65:BK65)/SUM($AW65:AY65),0)</f>
        <v>1.4285714285714286</v>
      </c>
      <c r="CV65" s="216">
        <f>IFERROR(SUM($BI65:BL65)/SUM($AW65:AZ65),0)</f>
        <v>1.4285714285714286</v>
      </c>
      <c r="CW65" s="216">
        <f>IFERROR(SUM($BI65:BM65)/SUM($AW65:BA65),0)</f>
        <v>1.4285714285714286</v>
      </c>
      <c r="CX65" s="216">
        <f>IFERROR(SUM($BI65:BN65)/SUM($AW65:BB65),0)</f>
        <v>1.2142857142857142</v>
      </c>
      <c r="CY65" s="216">
        <f>IFERROR(SUM($BI65:BO65)/SUM($AW65:BC65),0)</f>
        <v>1.2142857142857142</v>
      </c>
      <c r="CZ65" s="216">
        <f>IFERROR(SUM($BI65:BP65)/SUM($AW65:BD65),0)</f>
        <v>1.2142857142857142</v>
      </c>
      <c r="DA65" s="216">
        <f>IFERROR(SUM($BI65:BQ65)/SUM($AW65:BE65),0)</f>
        <v>0.80952380952380953</v>
      </c>
      <c r="DB65" s="216">
        <f>IFERROR(SUM($BI65:BR65)/SUM($AW65:BF65),0)</f>
        <v>0.80952380952380953</v>
      </c>
      <c r="DC65" s="216">
        <f>IFERROR(SUM($BI65:BS65)/SUM($AW65:BG65),0)</f>
        <v>0.80952380952380953</v>
      </c>
      <c r="DD65" s="216">
        <f>IFERROR(SUM($BI65:BT65)/SUM($AW65:BH65),0)</f>
        <v>0.56666666666666665</v>
      </c>
      <c r="DE65" s="254" t="str">
        <f t="shared" si="10"/>
        <v>0</v>
      </c>
      <c r="DF65" s="255" t="str">
        <f>IFERROR(SUM($BI65:BJ65)/SUM($AW65:AX65),"0")</f>
        <v>0</v>
      </c>
      <c r="DG65" s="256">
        <f>IFERROR(SUM($BI65:BK65)/SUM($AW65:AY65),"0")</f>
        <v>1.4285714285714286</v>
      </c>
      <c r="DH65" s="256">
        <f>IFERROR(SUM($BI65:BL65)/SUM($AW65:AZ65),"0")</f>
        <v>1.4285714285714286</v>
      </c>
      <c r="DI65" s="256">
        <f>IFERROR(SUM($BI65:BM65)/SUM($AW65:BA65),"0")</f>
        <v>1.4285714285714286</v>
      </c>
      <c r="DJ65" s="256">
        <f>IFERROR(SUM($BI65:BN65)/SUM($AW65:BB65),"0")</f>
        <v>1.2142857142857142</v>
      </c>
      <c r="DK65" s="256">
        <f>IFERROR(SUM($BI65:BO65)/SUM($AW65:BC65),"0")</f>
        <v>1.2142857142857142</v>
      </c>
      <c r="DL65" s="256">
        <f>IFERROR(SUM($BI65:BP65)/SUM($AW65:BD65),"0")</f>
        <v>1.2142857142857142</v>
      </c>
      <c r="DM65" s="256">
        <f>IFERROR(SUM($BI65:BQ65)/SUM($AW65:BE65),"0")</f>
        <v>0.80952380952380953</v>
      </c>
      <c r="DN65" s="256">
        <f>IFERROR(SUM($BI65:BR65)/SUM($AW65:BF65),"0")</f>
        <v>0.80952380952380953</v>
      </c>
      <c r="DO65" s="256">
        <f>IFERROR(SUM($BI65:BS65)/SUM($AW65:BG65),"0")</f>
        <v>0.80952380952380953</v>
      </c>
      <c r="DP65" s="257">
        <f>IFERROR(SUM($BI65:BT65)/SUM($AW65:BH65),"0")</f>
        <v>0.56666666666666665</v>
      </c>
    </row>
    <row r="66" spans="1:120" ht="39" customHeight="1" x14ac:dyDescent="0.25">
      <c r="A66" s="177" t="s">
        <v>866</v>
      </c>
      <c r="B66" s="161" t="s">
        <v>353</v>
      </c>
      <c r="C66" s="161" t="s">
        <v>867</v>
      </c>
      <c r="D66" s="345" t="s">
        <v>319</v>
      </c>
      <c r="E66" s="162" t="s">
        <v>1131</v>
      </c>
      <c r="F66" s="189" t="s">
        <v>868</v>
      </c>
      <c r="G66" s="161" t="s">
        <v>353</v>
      </c>
      <c r="H66" s="176" t="s">
        <v>1259</v>
      </c>
      <c r="I66" s="164" t="s">
        <v>357</v>
      </c>
      <c r="J66" s="176" t="s">
        <v>358</v>
      </c>
      <c r="K66" s="176" t="s">
        <v>181</v>
      </c>
      <c r="L66" s="176" t="s">
        <v>869</v>
      </c>
      <c r="M66" s="176"/>
      <c r="N66" s="176"/>
      <c r="O66" s="176"/>
      <c r="P66" s="176" t="s">
        <v>870</v>
      </c>
      <c r="Q66" s="176" t="s">
        <v>871</v>
      </c>
      <c r="R66" s="176" t="s">
        <v>872</v>
      </c>
      <c r="S66" s="176" t="s">
        <v>873</v>
      </c>
      <c r="T66" s="176" t="s">
        <v>874</v>
      </c>
      <c r="U66" s="176" t="s">
        <v>875</v>
      </c>
      <c r="V66" s="176" t="s">
        <v>876</v>
      </c>
      <c r="W66" s="176" t="s">
        <v>877</v>
      </c>
      <c r="X66" s="176" t="s">
        <v>878</v>
      </c>
      <c r="Y66" s="176" t="s">
        <v>879</v>
      </c>
      <c r="Z66" s="166" t="s">
        <v>215</v>
      </c>
      <c r="AA66" s="176" t="s">
        <v>832</v>
      </c>
      <c r="AB66" s="176" t="s">
        <v>195</v>
      </c>
      <c r="AC66" s="176" t="s">
        <v>880</v>
      </c>
      <c r="AD66" s="164" t="s">
        <v>368</v>
      </c>
      <c r="AE66" s="176" t="s">
        <v>369</v>
      </c>
      <c r="AF66" s="164">
        <v>0</v>
      </c>
      <c r="AG66" s="195">
        <v>2.5</v>
      </c>
      <c r="AH66" s="428">
        <v>5</v>
      </c>
      <c r="AI66" s="305">
        <v>100</v>
      </c>
      <c r="AJ66" s="528">
        <v>7.5</v>
      </c>
      <c r="AK66" s="191">
        <v>10</v>
      </c>
      <c r="AL66" s="164">
        <v>0</v>
      </c>
      <c r="AM66" s="171">
        <v>2.5</v>
      </c>
      <c r="AN66" s="431">
        <v>28.01</v>
      </c>
      <c r="AO66" s="444">
        <v>100</v>
      </c>
      <c r="AP66" s="511">
        <v>79.75</v>
      </c>
      <c r="AQ66" s="191">
        <v>0</v>
      </c>
      <c r="AR66" s="123" t="str">
        <f t="shared" si="11"/>
        <v>0</v>
      </c>
      <c r="AS66" s="123">
        <f t="shared" si="13"/>
        <v>1</v>
      </c>
      <c r="AT66" s="281">
        <f>IFERROR(AI66/AO66,"0")</f>
        <v>1</v>
      </c>
      <c r="AU66" s="123">
        <f t="shared" si="14"/>
        <v>10.633333333333333</v>
      </c>
      <c r="AV66" s="123">
        <f t="shared" si="15"/>
        <v>0</v>
      </c>
      <c r="AW66" s="187">
        <v>0</v>
      </c>
      <c r="AX66" s="187">
        <v>0</v>
      </c>
      <c r="AY66" s="473">
        <v>0.75</v>
      </c>
      <c r="AZ66" s="187">
        <v>0</v>
      </c>
      <c r="BA66" s="187">
        <v>0</v>
      </c>
      <c r="BB66" s="473">
        <v>0.5</v>
      </c>
      <c r="BC66" s="187">
        <v>0</v>
      </c>
      <c r="BD66" s="187">
        <v>0</v>
      </c>
      <c r="BE66" s="473">
        <v>0.3</v>
      </c>
      <c r="BF66" s="187">
        <v>0</v>
      </c>
      <c r="BG66" s="187">
        <v>0</v>
      </c>
      <c r="BH66" s="500">
        <v>7.4999999999999997E-2</v>
      </c>
      <c r="BI66" s="465">
        <v>0</v>
      </c>
      <c r="BJ66" s="465">
        <v>0</v>
      </c>
      <c r="BK66" s="491">
        <v>0.88219999999999998</v>
      </c>
      <c r="BL66" s="465">
        <v>0</v>
      </c>
      <c r="BM66" s="465">
        <v>0</v>
      </c>
      <c r="BN66" s="529">
        <v>0.79749999999999999</v>
      </c>
      <c r="BO66" s="465">
        <v>0</v>
      </c>
      <c r="BP66" s="465">
        <v>0</v>
      </c>
      <c r="BQ66" s="465">
        <v>0</v>
      </c>
      <c r="BR66" s="465">
        <v>0</v>
      </c>
      <c r="BS66" s="465">
        <v>0</v>
      </c>
      <c r="BT66" s="465">
        <v>0</v>
      </c>
      <c r="BU66" s="179" t="s">
        <v>1269</v>
      </c>
      <c r="BV66" s="179" t="s">
        <v>1269</v>
      </c>
      <c r="BW66" s="179" t="s">
        <v>1317</v>
      </c>
      <c r="BX66" s="179" t="s">
        <v>1269</v>
      </c>
      <c r="BY66" s="179" t="s">
        <v>1269</v>
      </c>
      <c r="BZ66" s="179" t="s">
        <v>1415</v>
      </c>
      <c r="CA66" s="179" t="s">
        <v>1269</v>
      </c>
      <c r="CB66" s="179" t="s">
        <v>1269</v>
      </c>
      <c r="CC66" s="179"/>
      <c r="CD66" s="179" t="s">
        <v>1269</v>
      </c>
      <c r="CE66" s="179" t="s">
        <v>1269</v>
      </c>
      <c r="CF66" s="179"/>
      <c r="CG66" s="92"/>
      <c r="CH66" s="504">
        <f t="shared" si="9"/>
        <v>-72.25</v>
      </c>
      <c r="CI66" s="74" t="s">
        <v>1413</v>
      </c>
      <c r="CJ66" s="73">
        <v>0</v>
      </c>
      <c r="CK66" s="73">
        <v>0.59</v>
      </c>
      <c r="CL66" s="73">
        <v>0.6</v>
      </c>
      <c r="CM66" s="73">
        <v>0.84</v>
      </c>
      <c r="CN66" s="73">
        <v>0.85</v>
      </c>
      <c r="CO66" s="73">
        <v>1</v>
      </c>
      <c r="CP66" s="213"/>
      <c r="CQ66" s="208" t="str">
        <f t="shared" si="16"/>
        <v>TÁCTICO</v>
      </c>
      <c r="CR66" s="215">
        <f t="shared" si="17"/>
        <v>1.0336615384615384</v>
      </c>
      <c r="CS66" s="216">
        <f>IFERROR(SUM($BI66:BI66)/SUM($AW66:AW66),0)</f>
        <v>0</v>
      </c>
      <c r="CT66" s="216">
        <f>IFERROR(SUM($BI66:BJ66)/SUM($AW66:AX66),0)</f>
        <v>0</v>
      </c>
      <c r="CU66" s="216">
        <f>IFERROR(SUM($BI66:BK66)/SUM($AW66:AY66),0)</f>
        <v>1.1762666666666666</v>
      </c>
      <c r="CV66" s="216">
        <f>IFERROR(SUM($BI66:BL66)/SUM($AW66:AZ66),0)</f>
        <v>1.1762666666666666</v>
      </c>
      <c r="CW66" s="216">
        <f>IFERROR(SUM($BI66:BM66)/SUM($AW66:BA66),0)</f>
        <v>1.1762666666666666</v>
      </c>
      <c r="CX66" s="216">
        <f>IFERROR(SUM($BI66:BN66)/SUM($AW66:BB66),0)</f>
        <v>1.3437600000000001</v>
      </c>
      <c r="CY66" s="216">
        <f>IFERROR(SUM($BI66:BO66)/SUM($AW66:BC66),0)</f>
        <v>1.3437600000000001</v>
      </c>
      <c r="CZ66" s="216">
        <f>IFERROR(SUM($BI66:BP66)/SUM($AW66:BD66),0)</f>
        <v>1.3437600000000001</v>
      </c>
      <c r="DA66" s="216">
        <f>IFERROR(SUM($BI66:BQ66)/SUM($AW66:BE66),0)</f>
        <v>1.0836774193548386</v>
      </c>
      <c r="DB66" s="216">
        <f>IFERROR(SUM($BI66:BR66)/SUM($AW66:BF66),0)</f>
        <v>1.0836774193548386</v>
      </c>
      <c r="DC66" s="216">
        <f>IFERROR(SUM($BI66:BS66)/SUM($AW66:BG66),0)</f>
        <v>1.0836774193548386</v>
      </c>
      <c r="DD66" s="216">
        <f>IFERROR(SUM($BI66:BT66)/SUM($AW66:BH66),0)</f>
        <v>1.0336615384615384</v>
      </c>
      <c r="DE66" s="254" t="str">
        <f t="shared" si="10"/>
        <v>0</v>
      </c>
      <c r="DF66" s="255" t="str">
        <f>IFERROR(SUM($BI66:BJ66)/SUM($AW66:AX66),"0")</f>
        <v>0</v>
      </c>
      <c r="DG66" s="256">
        <f>IFERROR(SUM($BI66:BK66)/SUM($AW66:AY66),"0")</f>
        <v>1.1762666666666666</v>
      </c>
      <c r="DH66" s="256">
        <f>IFERROR(SUM($BI66:BL66)/SUM($AW66:AZ66),"0")</f>
        <v>1.1762666666666666</v>
      </c>
      <c r="DI66" s="256">
        <f>IFERROR(SUM($BI66:BM66)/SUM($AW66:BA66),"0")</f>
        <v>1.1762666666666666</v>
      </c>
      <c r="DJ66" s="256">
        <f>IFERROR(SUM($BI66:BN66)/SUM($AW66:BB66),"0")</f>
        <v>1.3437600000000001</v>
      </c>
      <c r="DK66" s="256">
        <f>IFERROR(SUM($BI66:BO66)/SUM($AW66:BC66),"0")</f>
        <v>1.3437600000000001</v>
      </c>
      <c r="DL66" s="256">
        <f>IFERROR(SUM($BI66:BP66)/SUM($AW66:BD66),"0")</f>
        <v>1.3437600000000001</v>
      </c>
      <c r="DM66" s="256">
        <f>IFERROR(SUM($BI66:BQ66)/SUM($AW66:BE66),"0")</f>
        <v>1.0836774193548386</v>
      </c>
      <c r="DN66" s="256">
        <f>IFERROR(SUM($BI66:BR66)/SUM($AW66:BF66),"0")</f>
        <v>1.0836774193548386</v>
      </c>
      <c r="DO66" s="256">
        <f>IFERROR(SUM($BI66:BS66)/SUM($AW66:BG66),"0")</f>
        <v>1.0836774193548386</v>
      </c>
      <c r="DP66" s="257">
        <f>IFERROR(SUM($BI66:BT66)/SUM($AW66:BH66),"0")</f>
        <v>1.0336615384615384</v>
      </c>
    </row>
    <row r="67" spans="1:120" ht="39" customHeight="1" x14ac:dyDescent="0.25">
      <c r="A67" s="177" t="s">
        <v>866</v>
      </c>
      <c r="B67" s="161" t="s">
        <v>353</v>
      </c>
      <c r="C67" s="161" t="s">
        <v>881</v>
      </c>
      <c r="D67" s="345" t="s">
        <v>319</v>
      </c>
      <c r="E67" s="162" t="s">
        <v>1131</v>
      </c>
      <c r="F67" s="163" t="s">
        <v>882</v>
      </c>
      <c r="G67" s="161" t="s">
        <v>353</v>
      </c>
      <c r="H67" s="164" t="s">
        <v>883</v>
      </c>
      <c r="I67" s="164" t="s">
        <v>357</v>
      </c>
      <c r="J67" s="164" t="s">
        <v>358</v>
      </c>
      <c r="K67" s="161" t="s">
        <v>181</v>
      </c>
      <c r="L67" s="164" t="s">
        <v>869</v>
      </c>
      <c r="M67" s="164"/>
      <c r="N67" s="164" t="s">
        <v>377</v>
      </c>
      <c r="O67" s="164" t="s">
        <v>377</v>
      </c>
      <c r="P67" s="164" t="s">
        <v>884</v>
      </c>
      <c r="Q67" s="176" t="s">
        <v>885</v>
      </c>
      <c r="R67" s="164" t="s">
        <v>886</v>
      </c>
      <c r="S67" s="176" t="s">
        <v>887</v>
      </c>
      <c r="T67" s="164" t="s">
        <v>1260</v>
      </c>
      <c r="U67" s="176" t="s">
        <v>888</v>
      </c>
      <c r="V67" s="164" t="s">
        <v>889</v>
      </c>
      <c r="W67" s="176" t="s">
        <v>890</v>
      </c>
      <c r="X67" s="165" t="s">
        <v>891</v>
      </c>
      <c r="Y67" s="164" t="s">
        <v>892</v>
      </c>
      <c r="Z67" s="166" t="s">
        <v>215</v>
      </c>
      <c r="AA67" s="176" t="s">
        <v>832</v>
      </c>
      <c r="AB67" s="176" t="s">
        <v>195</v>
      </c>
      <c r="AC67" s="164" t="s">
        <v>880</v>
      </c>
      <c r="AD67" s="164" t="s">
        <v>368</v>
      </c>
      <c r="AE67" s="176" t="s">
        <v>369</v>
      </c>
      <c r="AF67" s="164">
        <v>0</v>
      </c>
      <c r="AG67" s="196">
        <v>1980.3</v>
      </c>
      <c r="AH67" s="439">
        <v>62</v>
      </c>
      <c r="AI67" s="305">
        <v>100</v>
      </c>
      <c r="AJ67" s="173">
        <v>28</v>
      </c>
      <c r="AK67" s="173">
        <v>62</v>
      </c>
      <c r="AL67" s="164">
        <v>0</v>
      </c>
      <c r="AM67" s="171">
        <v>4196.8999999999996</v>
      </c>
      <c r="AN67" s="428">
        <v>27</v>
      </c>
      <c r="AO67" s="445">
        <v>43.54</v>
      </c>
      <c r="AP67" s="512">
        <v>31</v>
      </c>
      <c r="AQ67" s="191">
        <v>0</v>
      </c>
      <c r="AR67" s="123" t="str">
        <f t="shared" si="11"/>
        <v>0</v>
      </c>
      <c r="AS67" s="123">
        <f t="shared" si="13"/>
        <v>2.1193253547442303</v>
      </c>
      <c r="AT67" s="123">
        <f t="shared" ref="AT67:AT114" si="18">IFERROR(AO67/AI67,"0")</f>
        <v>0.43540000000000001</v>
      </c>
      <c r="AU67" s="123">
        <f t="shared" si="14"/>
        <v>1.1071428571428572</v>
      </c>
      <c r="AV67" s="123">
        <f t="shared" si="15"/>
        <v>0</v>
      </c>
      <c r="AW67" s="187">
        <v>0</v>
      </c>
      <c r="AX67" s="187">
        <v>0</v>
      </c>
      <c r="AY67" s="473">
        <v>0.28000000000000003</v>
      </c>
      <c r="AZ67" s="187">
        <v>0</v>
      </c>
      <c r="BA67" s="187">
        <v>0</v>
      </c>
      <c r="BB67" s="473">
        <v>0.28000000000000003</v>
      </c>
      <c r="BC67" s="187">
        <v>0</v>
      </c>
      <c r="BD67" s="187">
        <v>0</v>
      </c>
      <c r="BE67" s="473">
        <v>0.28000000000000003</v>
      </c>
      <c r="BF67" s="187">
        <v>0</v>
      </c>
      <c r="BG67" s="187">
        <v>0</v>
      </c>
      <c r="BH67" s="473">
        <v>0.28000000000000003</v>
      </c>
      <c r="BI67" s="465">
        <v>0</v>
      </c>
      <c r="BJ67" s="465">
        <v>0</v>
      </c>
      <c r="BK67" s="465">
        <v>0.34</v>
      </c>
      <c r="BL67" s="465">
        <v>0</v>
      </c>
      <c r="BM67" s="465">
        <v>0</v>
      </c>
      <c r="BN67" s="530">
        <v>0.28000000000000003</v>
      </c>
      <c r="BO67" s="465">
        <v>0</v>
      </c>
      <c r="BP67" s="465">
        <v>0</v>
      </c>
      <c r="BQ67" s="465">
        <v>0</v>
      </c>
      <c r="BR67" s="465">
        <v>0</v>
      </c>
      <c r="BS67" s="465">
        <v>0</v>
      </c>
      <c r="BT67" s="465">
        <v>0</v>
      </c>
      <c r="BU67" s="179" t="s">
        <v>1269</v>
      </c>
      <c r="BV67" s="179" t="s">
        <v>1269</v>
      </c>
      <c r="BW67" s="179" t="s">
        <v>1316</v>
      </c>
      <c r="BX67" s="179" t="s">
        <v>1269</v>
      </c>
      <c r="BY67" s="179" t="s">
        <v>1269</v>
      </c>
      <c r="BZ67" s="179"/>
      <c r="CA67" s="179" t="s">
        <v>1269</v>
      </c>
      <c r="CB67" s="179" t="s">
        <v>1269</v>
      </c>
      <c r="CC67" s="179"/>
      <c r="CD67" s="179" t="s">
        <v>1269</v>
      </c>
      <c r="CE67" s="179" t="s">
        <v>1269</v>
      </c>
      <c r="CF67" s="179"/>
      <c r="CG67" s="94"/>
      <c r="CH67" s="504">
        <f t="shared" si="9"/>
        <v>-3</v>
      </c>
      <c r="CI67" s="74" t="s">
        <v>1413</v>
      </c>
      <c r="CJ67" s="73">
        <v>0</v>
      </c>
      <c r="CK67" s="73">
        <v>0.59</v>
      </c>
      <c r="CL67" s="73">
        <v>0.6</v>
      </c>
      <c r="CM67" s="73">
        <v>0.84</v>
      </c>
      <c r="CN67" s="73">
        <v>0.85</v>
      </c>
      <c r="CO67" s="73">
        <v>1</v>
      </c>
      <c r="CP67" s="213"/>
      <c r="CQ67" s="208" t="str">
        <f t="shared" si="16"/>
        <v>TÁCTICO</v>
      </c>
      <c r="CR67" s="215">
        <f t="shared" si="17"/>
        <v>0.5535714285714286</v>
      </c>
      <c r="CS67" s="216">
        <f>IFERROR(SUM($BI67:BI67)/SUM($AW67:AW67),0)</f>
        <v>0</v>
      </c>
      <c r="CT67" s="216">
        <f>IFERROR(SUM($BI67:BJ67)/SUM($AW67:AX67),0)</f>
        <v>0</v>
      </c>
      <c r="CU67" s="216">
        <f>IFERROR(SUM($BI67:BK67)/SUM($AW67:AY67),0)</f>
        <v>1.2142857142857142</v>
      </c>
      <c r="CV67" s="216">
        <f>IFERROR(SUM($BI67:BL67)/SUM($AW67:AZ67),0)</f>
        <v>1.2142857142857142</v>
      </c>
      <c r="CW67" s="216">
        <f>IFERROR(SUM($BI67:BM67)/SUM($AW67:BA67),0)</f>
        <v>1.2142857142857142</v>
      </c>
      <c r="CX67" s="216">
        <f>IFERROR(SUM($BI67:BN67)/SUM($AW67:BB67),0)</f>
        <v>1.1071428571428572</v>
      </c>
      <c r="CY67" s="216">
        <f>IFERROR(SUM($BI67:BO67)/SUM($AW67:BC67),0)</f>
        <v>1.1071428571428572</v>
      </c>
      <c r="CZ67" s="216">
        <f>IFERROR(SUM($BI67:BP67)/SUM($AW67:BD67),0)</f>
        <v>1.1071428571428572</v>
      </c>
      <c r="DA67" s="216">
        <f>IFERROR(SUM($BI67:BQ67)/SUM($AW67:BE67),0)</f>
        <v>0.73809523809523814</v>
      </c>
      <c r="DB67" s="216">
        <f>IFERROR(SUM($BI67:BR67)/SUM($AW67:BF67),0)</f>
        <v>0.73809523809523814</v>
      </c>
      <c r="DC67" s="216">
        <f>IFERROR(SUM($BI67:BS67)/SUM($AW67:BG67),0)</f>
        <v>0.73809523809523814</v>
      </c>
      <c r="DD67" s="216">
        <f>IFERROR(SUM($BI67:BT67)/SUM($AW67:BH67),0)</f>
        <v>0.5535714285714286</v>
      </c>
      <c r="DE67" s="250" t="str">
        <f t="shared" ref="DE67:DE92" si="19">IFERROR(SUM(BI67)/SUM(AW67),"0")</f>
        <v>0</v>
      </c>
      <c r="DF67" s="251" t="str">
        <f>IFERROR(SUM($BI67:BJ67)/SUM($AW67:AX67),"0")</f>
        <v>0</v>
      </c>
      <c r="DG67" s="252">
        <f>IFERROR(SUM($BI67:BK67)/SUM($AW67:AY67),"0")</f>
        <v>1.2142857142857142</v>
      </c>
      <c r="DH67" s="252">
        <f>IFERROR(SUM($BI67:BL67)/SUM($AW67:AZ67),"0")</f>
        <v>1.2142857142857142</v>
      </c>
      <c r="DI67" s="252">
        <f>IFERROR(SUM($BI67:BM67)/SUM($AW67:BA67),"0")</f>
        <v>1.2142857142857142</v>
      </c>
      <c r="DJ67" s="252">
        <f>IFERROR(SUM($BI67:BN67)/SUM($AW67:BB67),"0")</f>
        <v>1.1071428571428572</v>
      </c>
      <c r="DK67" s="252">
        <f>IFERROR(SUM($BI67:BO67)/SUM($AW67:BC67),"0")</f>
        <v>1.1071428571428572</v>
      </c>
      <c r="DL67" s="252">
        <f>IFERROR(SUM($BI67:BP67)/SUM($AW67:BD67),"0")</f>
        <v>1.1071428571428572</v>
      </c>
      <c r="DM67" s="252">
        <f>IFERROR(SUM($BI67:BQ67)/SUM($AW67:BE67),"0")</f>
        <v>0.73809523809523814</v>
      </c>
      <c r="DN67" s="252">
        <f>IFERROR(SUM($BI67:BR67)/SUM($AW67:BF67),"0")</f>
        <v>0.73809523809523814</v>
      </c>
      <c r="DO67" s="252">
        <f>IFERROR(SUM($BI67:BS67)/SUM($AW67:BG67),"0")</f>
        <v>0.73809523809523814</v>
      </c>
      <c r="DP67" s="253">
        <f>IFERROR(SUM($BI67:BT67)/SUM($AW67:BH67),"0")</f>
        <v>0.5535714285714286</v>
      </c>
    </row>
    <row r="68" spans="1:120" s="399" customFormat="1" ht="39" customHeight="1" x14ac:dyDescent="0.25">
      <c r="A68" s="384" t="s">
        <v>893</v>
      </c>
      <c r="B68" s="207" t="s">
        <v>201</v>
      </c>
      <c r="C68" s="385" t="s">
        <v>894</v>
      </c>
      <c r="D68" s="207" t="s">
        <v>176</v>
      </c>
      <c r="E68" s="384" t="s">
        <v>177</v>
      </c>
      <c r="F68" s="384" t="s">
        <v>895</v>
      </c>
      <c r="G68" s="207" t="s">
        <v>201</v>
      </c>
      <c r="H68" s="384" t="s">
        <v>896</v>
      </c>
      <c r="I68" s="386" t="s">
        <v>180</v>
      </c>
      <c r="J68" s="384" t="s">
        <v>205</v>
      </c>
      <c r="K68" s="385" t="s">
        <v>897</v>
      </c>
      <c r="L68" s="385" t="s">
        <v>182</v>
      </c>
      <c r="M68" s="385" t="s">
        <v>183</v>
      </c>
      <c r="N68" s="385" t="s">
        <v>206</v>
      </c>
      <c r="O68" s="385"/>
      <c r="P68" s="384" t="s">
        <v>207</v>
      </c>
      <c r="Q68" s="384" t="s">
        <v>208</v>
      </c>
      <c r="R68" s="384" t="s">
        <v>209</v>
      </c>
      <c r="S68" s="384" t="s">
        <v>210</v>
      </c>
      <c r="T68" s="384" t="s">
        <v>898</v>
      </c>
      <c r="U68" s="384" t="s">
        <v>899</v>
      </c>
      <c r="V68" s="384" t="s">
        <v>213</v>
      </c>
      <c r="W68" s="384" t="s">
        <v>214</v>
      </c>
      <c r="X68" s="384">
        <v>0</v>
      </c>
      <c r="Y68" s="384">
        <v>0</v>
      </c>
      <c r="Z68" s="387" t="s">
        <v>215</v>
      </c>
      <c r="AA68" s="384" t="s">
        <v>216</v>
      </c>
      <c r="AB68" s="354" t="s">
        <v>217</v>
      </c>
      <c r="AC68" s="384" t="s">
        <v>218</v>
      </c>
      <c r="AD68" s="384" t="s">
        <v>219</v>
      </c>
      <c r="AE68" s="384" t="s">
        <v>220</v>
      </c>
      <c r="AF68" s="354">
        <v>0.2</v>
      </c>
      <c r="AG68" s="388">
        <v>0.8</v>
      </c>
      <c r="AH68" s="388">
        <v>0</v>
      </c>
      <c r="AI68" s="389">
        <v>0</v>
      </c>
      <c r="AJ68" s="390">
        <v>0</v>
      </c>
      <c r="AK68" s="390">
        <v>0</v>
      </c>
      <c r="AL68" s="354">
        <v>0.2</v>
      </c>
      <c r="AM68" s="360">
        <v>0.79999999999999982</v>
      </c>
      <c r="AN68" s="389"/>
      <c r="AO68" s="389"/>
      <c r="AP68" s="389"/>
      <c r="AQ68" s="389"/>
      <c r="AR68" s="391">
        <f t="shared" si="11"/>
        <v>1</v>
      </c>
      <c r="AS68" s="391">
        <f t="shared" si="13"/>
        <v>0.99999999999999978</v>
      </c>
      <c r="AT68" s="391" t="str">
        <f t="shared" si="18"/>
        <v>0</v>
      </c>
      <c r="AU68" s="391" t="str">
        <f t="shared" si="14"/>
        <v>0</v>
      </c>
      <c r="AV68" s="391" t="str">
        <f t="shared" si="15"/>
        <v>0</v>
      </c>
      <c r="AW68" s="364">
        <v>0</v>
      </c>
      <c r="AX68" s="364">
        <v>0</v>
      </c>
      <c r="AY68" s="364">
        <v>0</v>
      </c>
      <c r="AZ68" s="364">
        <v>0</v>
      </c>
      <c r="BA68" s="364">
        <v>0</v>
      </c>
      <c r="BB68" s="364">
        <v>0</v>
      </c>
      <c r="BC68" s="364">
        <v>0</v>
      </c>
      <c r="BD68" s="364">
        <v>0</v>
      </c>
      <c r="BE68" s="364">
        <v>0</v>
      </c>
      <c r="BF68" s="364">
        <v>0</v>
      </c>
      <c r="BG68" s="364">
        <v>0</v>
      </c>
      <c r="BH68" s="364">
        <v>0</v>
      </c>
      <c r="BI68" s="364"/>
      <c r="BJ68" s="364"/>
      <c r="BK68" s="364"/>
      <c r="BL68" s="364"/>
      <c r="BM68" s="364"/>
      <c r="BN68" s="364"/>
      <c r="BO68" s="360"/>
      <c r="BP68" s="364"/>
      <c r="BQ68" s="364"/>
      <c r="BR68" s="364"/>
      <c r="BS68" s="364"/>
      <c r="BT68" s="364"/>
      <c r="BU68" s="350"/>
      <c r="BV68" s="350"/>
      <c r="BW68" s="350"/>
      <c r="BX68" s="392"/>
      <c r="BY68" s="392"/>
      <c r="BZ68" s="392"/>
      <c r="CA68" s="392"/>
      <c r="CB68" s="392"/>
      <c r="CC68" s="392"/>
      <c r="CD68" s="392"/>
      <c r="CE68" s="392"/>
      <c r="CF68" s="392"/>
      <c r="CG68" s="393"/>
      <c r="CH68" s="504">
        <f t="shared" si="9"/>
        <v>0</v>
      </c>
      <c r="CI68" s="394"/>
      <c r="CJ68" s="395"/>
      <c r="CK68" s="395">
        <v>44</v>
      </c>
      <c r="CL68" s="395">
        <v>45</v>
      </c>
      <c r="CM68" s="395">
        <v>69</v>
      </c>
      <c r="CN68" s="395">
        <v>70</v>
      </c>
      <c r="CO68" s="395">
        <v>80</v>
      </c>
      <c r="CP68" s="396"/>
      <c r="CQ68" s="207" t="str">
        <f t="shared" si="16"/>
        <v>ESTRATÉGICO</v>
      </c>
      <c r="CR68" s="397">
        <f t="shared" si="17"/>
        <v>0</v>
      </c>
      <c r="CS68" s="398">
        <f>IFERROR(SUM($BI68:BI68)/SUM($AW68:AW68),0)</f>
        <v>0</v>
      </c>
      <c r="CT68" s="398">
        <f>IFERROR(SUM($BI68:BJ68)/SUM($AW68:AX68),0)</f>
        <v>0</v>
      </c>
      <c r="CU68" s="398">
        <f>IFERROR(SUM($BI68:BK68)/SUM($AW68:AY68),0)</f>
        <v>0</v>
      </c>
      <c r="CV68" s="398">
        <f>IFERROR(SUM($BI68:BL68)/SUM($AW68:AZ68),0)</f>
        <v>0</v>
      </c>
      <c r="CW68" s="398">
        <f>IFERROR(SUM($BI68:BM68)/SUM($AW68:BA68),0)</f>
        <v>0</v>
      </c>
      <c r="CX68" s="398">
        <f>IFERROR(SUM($BI68:BN68)/SUM($AW68:BB68),0)</f>
        <v>0</v>
      </c>
      <c r="CY68" s="398">
        <f>IFERROR(SUM($BI68:BO68)/SUM($AW68:BC68),0)</f>
        <v>0</v>
      </c>
      <c r="CZ68" s="398">
        <f>IFERROR(SUM($BI68:BP68)/SUM($AW68:BD68),0)</f>
        <v>0</v>
      </c>
      <c r="DA68" s="398">
        <f>IFERROR(SUM($BI68:BQ68)/SUM($AW68:BE68),0)</f>
        <v>0</v>
      </c>
      <c r="DB68" s="398">
        <f>IFERROR(SUM($BI68:BR68)/SUM($AW68:BF68),0)</f>
        <v>0</v>
      </c>
      <c r="DC68" s="398">
        <f>IFERROR(SUM($BI68:BS68)/SUM($AW68:BG68),0)</f>
        <v>0</v>
      </c>
      <c r="DD68" s="398">
        <f>IFERROR(SUM($BI68:BT68)/SUM($AW68:BH68),0)</f>
        <v>0</v>
      </c>
      <c r="DE68" s="371" t="str">
        <f t="shared" si="19"/>
        <v>0</v>
      </c>
      <c r="DF68" s="372" t="str">
        <f>IFERROR(SUM($BI68:BJ68)/SUM($AW68:AX68),"0")</f>
        <v>0</v>
      </c>
      <c r="DG68" s="373" t="str">
        <f>IFERROR(SUM($BI68:BK68)/SUM($AW68:AY68),"0")</f>
        <v>0</v>
      </c>
      <c r="DH68" s="373" t="str">
        <f>IFERROR(SUM($BI68:BL68)/SUM($AW68:AZ68),"0")</f>
        <v>0</v>
      </c>
      <c r="DI68" s="373" t="str">
        <f>IFERROR(SUM($BI68:BM68)/SUM($AW68:BA68),"0")</f>
        <v>0</v>
      </c>
      <c r="DJ68" s="373" t="str">
        <f>IFERROR(SUM($BI68:BN68)/SUM($AW68:BB68),"0")</f>
        <v>0</v>
      </c>
      <c r="DK68" s="373" t="str">
        <f>IFERROR(SUM($BI68:BO68)/SUM($AW68:BC68),"0")</f>
        <v>0</v>
      </c>
      <c r="DL68" s="373" t="str">
        <f>IFERROR(SUM($BI68:BP68)/SUM($AW68:BD68),"0")</f>
        <v>0</v>
      </c>
      <c r="DM68" s="373" t="str">
        <f>IFERROR(SUM($BI68:BQ68)/SUM($AW68:BE68),"0")</f>
        <v>0</v>
      </c>
      <c r="DN68" s="373" t="str">
        <f>IFERROR(SUM($BI68:BR68)/SUM($AW68:BF68),"0")</f>
        <v>0</v>
      </c>
      <c r="DO68" s="373" t="str">
        <f>IFERROR(SUM($BI68:BS68)/SUM($AW68:BG68),"0")</f>
        <v>0</v>
      </c>
      <c r="DP68" s="374" t="str">
        <f>IFERROR(SUM($BI68:BT68)/SUM($AW68:BH68),"0")</f>
        <v>0</v>
      </c>
    </row>
    <row r="69" spans="1:120" s="399" customFormat="1" ht="39" customHeight="1" x14ac:dyDescent="0.25">
      <c r="A69" s="400" t="s">
        <v>900</v>
      </c>
      <c r="B69" s="207" t="s">
        <v>353</v>
      </c>
      <c r="C69" s="401" t="s">
        <v>901</v>
      </c>
      <c r="D69" s="207" t="s">
        <v>319</v>
      </c>
      <c r="E69" s="384" t="s">
        <v>177</v>
      </c>
      <c r="F69" s="384" t="s">
        <v>902</v>
      </c>
      <c r="G69" s="207" t="s">
        <v>353</v>
      </c>
      <c r="H69" s="384" t="s">
        <v>903</v>
      </c>
      <c r="I69" s="402" t="s">
        <v>357</v>
      </c>
      <c r="J69" s="384" t="s">
        <v>754</v>
      </c>
      <c r="K69" s="385" t="s">
        <v>897</v>
      </c>
      <c r="L69" s="385" t="s">
        <v>183</v>
      </c>
      <c r="M69" s="385"/>
      <c r="N69" s="385"/>
      <c r="O69" s="385"/>
      <c r="P69" s="384" t="s">
        <v>904</v>
      </c>
      <c r="Q69" s="384" t="s">
        <v>905</v>
      </c>
      <c r="R69" s="384" t="s">
        <v>906</v>
      </c>
      <c r="S69" s="384" t="s">
        <v>907</v>
      </c>
      <c r="T69" s="384" t="s">
        <v>908</v>
      </c>
      <c r="U69" s="384" t="s">
        <v>909</v>
      </c>
      <c r="V69" s="384" t="s">
        <v>910</v>
      </c>
      <c r="W69" s="384" t="s">
        <v>911</v>
      </c>
      <c r="X69" s="384">
        <v>1417</v>
      </c>
      <c r="Y69" s="384" t="s">
        <v>912</v>
      </c>
      <c r="Z69" s="387" t="s">
        <v>215</v>
      </c>
      <c r="AA69" s="384" t="s">
        <v>216</v>
      </c>
      <c r="AB69" s="354" t="s">
        <v>217</v>
      </c>
      <c r="AC69" s="384" t="s">
        <v>377</v>
      </c>
      <c r="AD69" s="403" t="s">
        <v>368</v>
      </c>
      <c r="AE69" s="385" t="s">
        <v>369</v>
      </c>
      <c r="AF69" s="354">
        <v>65</v>
      </c>
      <c r="AG69" s="389">
        <v>33</v>
      </c>
      <c r="AH69" s="389">
        <v>0</v>
      </c>
      <c r="AI69" s="389">
        <v>0</v>
      </c>
      <c r="AJ69" s="390">
        <v>0</v>
      </c>
      <c r="AK69" s="390">
        <v>0</v>
      </c>
      <c r="AL69" s="354">
        <v>42</v>
      </c>
      <c r="AM69" s="360">
        <v>39</v>
      </c>
      <c r="AN69" s="389"/>
      <c r="AO69" s="389"/>
      <c r="AP69" s="389"/>
      <c r="AQ69" s="389"/>
      <c r="AR69" s="391">
        <f t="shared" si="11"/>
        <v>0.64615384615384619</v>
      </c>
      <c r="AS69" s="391">
        <f t="shared" si="13"/>
        <v>1.1818181818181819</v>
      </c>
      <c r="AT69" s="391" t="str">
        <f t="shared" si="18"/>
        <v>0</v>
      </c>
      <c r="AU69" s="391" t="str">
        <f t="shared" si="14"/>
        <v>0</v>
      </c>
      <c r="AV69" s="391" t="str">
        <f t="shared" si="15"/>
        <v>0</v>
      </c>
      <c r="AW69" s="364">
        <v>0</v>
      </c>
      <c r="AX69" s="364">
        <v>0</v>
      </c>
      <c r="AY69" s="364">
        <v>0</v>
      </c>
      <c r="AZ69" s="364">
        <v>0</v>
      </c>
      <c r="BA69" s="364">
        <v>0</v>
      </c>
      <c r="BB69" s="364">
        <v>0</v>
      </c>
      <c r="BC69" s="364">
        <v>0</v>
      </c>
      <c r="BD69" s="364">
        <v>0</v>
      </c>
      <c r="BE69" s="364">
        <v>0</v>
      </c>
      <c r="BF69" s="364">
        <v>0</v>
      </c>
      <c r="BG69" s="364">
        <v>0</v>
      </c>
      <c r="BH69" s="364">
        <v>0</v>
      </c>
      <c r="BI69" s="364"/>
      <c r="BJ69" s="364"/>
      <c r="BK69" s="364"/>
      <c r="BL69" s="364"/>
      <c r="BM69" s="364"/>
      <c r="BN69" s="364"/>
      <c r="BO69" s="360"/>
      <c r="BP69" s="364"/>
      <c r="BQ69" s="364"/>
      <c r="BR69" s="364"/>
      <c r="BS69" s="364"/>
      <c r="BT69" s="364"/>
      <c r="BU69" s="350"/>
      <c r="BV69" s="350"/>
      <c r="BW69" s="350"/>
      <c r="BX69" s="392"/>
      <c r="BY69" s="392"/>
      <c r="BZ69" s="392"/>
      <c r="CA69" s="392"/>
      <c r="CB69" s="392"/>
      <c r="CC69" s="392"/>
      <c r="CD69" s="392"/>
      <c r="CE69" s="392"/>
      <c r="CF69" s="392"/>
      <c r="CG69" s="393"/>
      <c r="CH69" s="504">
        <f t="shared" ref="CH69:CH132" si="20">AJ69-AP69</f>
        <v>0</v>
      </c>
      <c r="CI69" s="394"/>
      <c r="CJ69" s="385"/>
      <c r="CK69" s="385"/>
      <c r="CL69" s="385"/>
      <c r="CM69" s="385"/>
      <c r="CN69" s="385"/>
      <c r="CO69" s="385"/>
      <c r="CP69" s="404" t="s">
        <v>512</v>
      </c>
      <c r="CQ69" s="207" t="str">
        <f t="shared" si="16"/>
        <v>TÁCTICO</v>
      </c>
      <c r="CR69" s="397">
        <f t="shared" si="17"/>
        <v>0</v>
      </c>
      <c r="CS69" s="398">
        <f>IFERROR(SUM($BI69:BI69)/SUM($AW69:AW69),0)</f>
        <v>0</v>
      </c>
      <c r="CT69" s="398">
        <f>IFERROR(SUM($BI69:BJ69)/SUM($AW69:AX69),0)</f>
        <v>0</v>
      </c>
      <c r="CU69" s="398">
        <f>IFERROR(SUM($BI69:BK69)/SUM($AW69:AY69),0)</f>
        <v>0</v>
      </c>
      <c r="CV69" s="398">
        <f>IFERROR(SUM($BI69:BL69)/SUM($AW69:AZ69),0)</f>
        <v>0</v>
      </c>
      <c r="CW69" s="398">
        <f>IFERROR(SUM($BI69:BM69)/SUM($AW69:BA69),0)</f>
        <v>0</v>
      </c>
      <c r="CX69" s="398">
        <f>IFERROR(SUM($BI69:BN69)/SUM($AW69:BB69),0)</f>
        <v>0</v>
      </c>
      <c r="CY69" s="398">
        <f>IFERROR(SUM($BI69:BO69)/SUM($AW69:BC69),0)</f>
        <v>0</v>
      </c>
      <c r="CZ69" s="398">
        <f>IFERROR(SUM($BI69:BP69)/SUM($AW69:BD69),0)</f>
        <v>0</v>
      </c>
      <c r="DA69" s="398">
        <f>IFERROR(SUM($BI69:BQ69)/SUM($AW69:BE69),0)</f>
        <v>0</v>
      </c>
      <c r="DB69" s="398">
        <f>IFERROR(SUM($BI69:BR69)/SUM($AW69:BF69),0)</f>
        <v>0</v>
      </c>
      <c r="DC69" s="398">
        <f>IFERROR(SUM($BI69:BS69)/SUM($AW69:BG69),0)</f>
        <v>0</v>
      </c>
      <c r="DD69" s="398">
        <f>IFERROR(SUM($BI69:BT69)/SUM($AW69:BH69),0)</f>
        <v>0</v>
      </c>
      <c r="DE69" s="405" t="str">
        <f t="shared" si="19"/>
        <v>0</v>
      </c>
      <c r="DF69" s="406" t="str">
        <f>IFERROR(SUM($BI69:BJ69)/SUM($AW69:AX69),"0")</f>
        <v>0</v>
      </c>
      <c r="DG69" s="407" t="str">
        <f>IFERROR(SUM($BI69:BK69)/SUM($AW69:AY69),"0")</f>
        <v>0</v>
      </c>
      <c r="DH69" s="407" t="str">
        <f>IFERROR(SUM($BI69:BL69)/SUM($AW69:AZ69),"0")</f>
        <v>0</v>
      </c>
      <c r="DI69" s="407" t="str">
        <f>IFERROR(SUM($BI69:BM69)/SUM($AW69:BA69),"0")</f>
        <v>0</v>
      </c>
      <c r="DJ69" s="407" t="str">
        <f>IFERROR(SUM($BI69:BN69)/SUM($AW69:BB69),"0")</f>
        <v>0</v>
      </c>
      <c r="DK69" s="407" t="str">
        <f>IFERROR(SUM($BI69:BO69)/SUM($AW69:BC69),"0")</f>
        <v>0</v>
      </c>
      <c r="DL69" s="407" t="str">
        <f>IFERROR(SUM($BI69:BP69)/SUM($AW69:BD69),"0")</f>
        <v>0</v>
      </c>
      <c r="DM69" s="407" t="str">
        <f>IFERROR(SUM($BI69:BQ69)/SUM($AW69:BE69),"0")</f>
        <v>0</v>
      </c>
      <c r="DN69" s="407" t="str">
        <f>IFERROR(SUM($BI69:BR69)/SUM($AW69:BF69),"0")</f>
        <v>0</v>
      </c>
      <c r="DO69" s="407" t="str">
        <f>IFERROR(SUM($BI69:BS69)/SUM($AW69:BG69),"0")</f>
        <v>0</v>
      </c>
      <c r="DP69" s="408" t="str">
        <f>IFERROR(SUM($BI69:BT69)/SUM($AW69:BH69),"0")</f>
        <v>0</v>
      </c>
    </row>
    <row r="70" spans="1:120" s="399" customFormat="1" ht="39" customHeight="1" x14ac:dyDescent="0.25">
      <c r="A70" s="400" t="s">
        <v>602</v>
      </c>
      <c r="B70" s="207" t="s">
        <v>290</v>
      </c>
      <c r="C70" s="385" t="s">
        <v>913</v>
      </c>
      <c r="D70" s="207" t="s">
        <v>319</v>
      </c>
      <c r="E70" s="384" t="s">
        <v>443</v>
      </c>
      <c r="F70" s="384" t="s">
        <v>914</v>
      </c>
      <c r="G70" s="207" t="s">
        <v>290</v>
      </c>
      <c r="H70" s="409" t="s">
        <v>915</v>
      </c>
      <c r="I70" s="402" t="s">
        <v>357</v>
      </c>
      <c r="J70" s="384" t="s">
        <v>606</v>
      </c>
      <c r="K70" s="385" t="s">
        <v>897</v>
      </c>
      <c r="L70" s="385" t="s">
        <v>448</v>
      </c>
      <c r="M70" s="385" t="s">
        <v>406</v>
      </c>
      <c r="N70" s="385"/>
      <c r="O70" s="385"/>
      <c r="P70" s="392" t="s">
        <v>916</v>
      </c>
      <c r="Q70" s="384" t="s">
        <v>917</v>
      </c>
      <c r="R70" s="384" t="s">
        <v>918</v>
      </c>
      <c r="S70" s="384" t="s">
        <v>919</v>
      </c>
      <c r="T70" s="384" t="s">
        <v>920</v>
      </c>
      <c r="U70" s="384" t="s">
        <v>921</v>
      </c>
      <c r="V70" s="384" t="s">
        <v>613</v>
      </c>
      <c r="W70" s="384" t="s">
        <v>613</v>
      </c>
      <c r="X70" s="385" t="s">
        <v>614</v>
      </c>
      <c r="Y70" s="384" t="s">
        <v>922</v>
      </c>
      <c r="Z70" s="387" t="s">
        <v>193</v>
      </c>
      <c r="AA70" s="384" t="s">
        <v>456</v>
      </c>
      <c r="AB70" s="354" t="s">
        <v>217</v>
      </c>
      <c r="AC70" s="384" t="s">
        <v>301</v>
      </c>
      <c r="AD70" s="384" t="s">
        <v>301</v>
      </c>
      <c r="AE70" s="384" t="s">
        <v>302</v>
      </c>
      <c r="AF70" s="350">
        <v>0</v>
      </c>
      <c r="AG70" s="389">
        <v>100</v>
      </c>
      <c r="AH70" s="389">
        <v>0</v>
      </c>
      <c r="AI70" s="389">
        <v>0</v>
      </c>
      <c r="AJ70" s="390">
        <v>0</v>
      </c>
      <c r="AK70" s="390">
        <v>0</v>
      </c>
      <c r="AL70" s="350">
        <v>0</v>
      </c>
      <c r="AM70" s="389">
        <v>100</v>
      </c>
      <c r="AN70" s="389"/>
      <c r="AO70" s="389"/>
      <c r="AP70" s="389"/>
      <c r="AQ70" s="389"/>
      <c r="AR70" s="391" t="str">
        <f t="shared" si="11"/>
        <v>0</v>
      </c>
      <c r="AS70" s="391">
        <f t="shared" si="13"/>
        <v>1</v>
      </c>
      <c r="AT70" s="391" t="str">
        <f t="shared" si="18"/>
        <v>0</v>
      </c>
      <c r="AU70" s="391" t="str">
        <f t="shared" si="14"/>
        <v>0</v>
      </c>
      <c r="AV70" s="391" t="str">
        <f t="shared" si="15"/>
        <v>0</v>
      </c>
      <c r="AW70" s="364">
        <v>0</v>
      </c>
      <c r="AX70" s="364">
        <v>0</v>
      </c>
      <c r="AY70" s="364">
        <v>0</v>
      </c>
      <c r="AZ70" s="364">
        <v>0</v>
      </c>
      <c r="BA70" s="364">
        <v>0</v>
      </c>
      <c r="BB70" s="364">
        <v>0</v>
      </c>
      <c r="BC70" s="364">
        <v>0</v>
      </c>
      <c r="BD70" s="364">
        <v>0</v>
      </c>
      <c r="BE70" s="364">
        <v>0</v>
      </c>
      <c r="BF70" s="364">
        <v>0</v>
      </c>
      <c r="BG70" s="364">
        <v>0</v>
      </c>
      <c r="BH70" s="364">
        <v>0</v>
      </c>
      <c r="BI70" s="364"/>
      <c r="BJ70" s="364"/>
      <c r="BK70" s="364"/>
      <c r="BL70" s="364"/>
      <c r="BM70" s="364"/>
      <c r="BN70" s="364"/>
      <c r="BO70" s="360"/>
      <c r="BP70" s="364"/>
      <c r="BQ70" s="364"/>
      <c r="BR70" s="364"/>
      <c r="BS70" s="364"/>
      <c r="BT70" s="364"/>
      <c r="BU70" s="392"/>
      <c r="BV70" s="392"/>
      <c r="BW70" s="392"/>
      <c r="BX70" s="392"/>
      <c r="BY70" s="392"/>
      <c r="BZ70" s="392"/>
      <c r="CA70" s="392"/>
      <c r="CB70" s="392"/>
      <c r="CC70" s="392"/>
      <c r="CD70" s="392"/>
      <c r="CE70" s="392"/>
      <c r="CF70" s="392"/>
      <c r="CG70" s="393"/>
      <c r="CH70" s="504">
        <f t="shared" si="20"/>
        <v>0</v>
      </c>
      <c r="CI70" s="394"/>
      <c r="CJ70" s="410">
        <v>0</v>
      </c>
      <c r="CK70" s="410">
        <v>0.7</v>
      </c>
      <c r="CL70" s="410">
        <v>0.71</v>
      </c>
      <c r="CM70" s="410">
        <v>1</v>
      </c>
      <c r="CN70" s="410"/>
      <c r="CO70" s="410"/>
      <c r="CP70" s="411" t="s">
        <v>341</v>
      </c>
      <c r="CQ70" s="207" t="str">
        <f t="shared" si="16"/>
        <v>TÁCTICO</v>
      </c>
      <c r="CR70" s="397">
        <f t="shared" si="17"/>
        <v>0</v>
      </c>
      <c r="CS70" s="398">
        <f>IFERROR(SUM($BI70:BI70)/SUM($AW70:AW70),0)</f>
        <v>0</v>
      </c>
      <c r="CT70" s="398">
        <f>IFERROR(SUM($BI70:BJ70)/SUM($AW70:AX70),0)</f>
        <v>0</v>
      </c>
      <c r="CU70" s="398">
        <f>IFERROR(SUM($BI70:BK70)/SUM($AW70:AY70),0)</f>
        <v>0</v>
      </c>
      <c r="CV70" s="398">
        <f>IFERROR(SUM($BI70:BL70)/SUM($AW70:AZ70),0)</f>
        <v>0</v>
      </c>
      <c r="CW70" s="398">
        <f>IFERROR(SUM($BI70:BM70)/SUM($AW70:BA70),0)</f>
        <v>0</v>
      </c>
      <c r="CX70" s="398">
        <f>IFERROR(SUM($BI70:BN70)/SUM($AW70:BB70),0)</f>
        <v>0</v>
      </c>
      <c r="CY70" s="398">
        <f>IFERROR(SUM($BI70:BO70)/SUM($AW70:BC70),0)</f>
        <v>0</v>
      </c>
      <c r="CZ70" s="398">
        <f>IFERROR(SUM($BI70:BP70)/SUM($AW70:BD70),0)</f>
        <v>0</v>
      </c>
      <c r="DA70" s="398">
        <f>IFERROR(SUM($BI70:BQ70)/SUM($AW70:BE70),0)</f>
        <v>0</v>
      </c>
      <c r="DB70" s="398">
        <f>IFERROR(SUM($BI70:BR70)/SUM($AW70:BF70),0)</f>
        <v>0</v>
      </c>
      <c r="DC70" s="398">
        <f>IFERROR(SUM($BI70:BS70)/SUM($AW70:BG70),0)</f>
        <v>0</v>
      </c>
      <c r="DD70" s="398">
        <f>IFERROR(SUM($BI70:BT70)/SUM($AW70:BH70),0)</f>
        <v>0</v>
      </c>
      <c r="DE70" s="371" t="str">
        <f t="shared" si="19"/>
        <v>0</v>
      </c>
      <c r="DF70" s="372" t="str">
        <f>IFERROR(SUM($BI70:BJ70)/SUM($AW70:AX70),"0")</f>
        <v>0</v>
      </c>
      <c r="DG70" s="373" t="str">
        <f>IFERROR(SUM($BI70:BK70)/SUM($AW70:AY70),"0")</f>
        <v>0</v>
      </c>
      <c r="DH70" s="373" t="str">
        <f>IFERROR(SUM($BI70:BL70)/SUM($AW70:AZ70),"0")</f>
        <v>0</v>
      </c>
      <c r="DI70" s="373" t="str">
        <f>IFERROR(SUM($BI70:BM70)/SUM($AW70:BA70),"0")</f>
        <v>0</v>
      </c>
      <c r="DJ70" s="373" t="str">
        <f>IFERROR(SUM($BI70:BN70)/SUM($AW70:BB70),"0")</f>
        <v>0</v>
      </c>
      <c r="DK70" s="373" t="str">
        <f>IFERROR(SUM($BI70:BO70)/SUM($AW70:BC70),"0")</f>
        <v>0</v>
      </c>
      <c r="DL70" s="373" t="str">
        <f>IFERROR(SUM($BI70:BP70)/SUM($AW70:BD70),"0")</f>
        <v>0</v>
      </c>
      <c r="DM70" s="373" t="str">
        <f>IFERROR(SUM($BI70:BQ70)/SUM($AW70:BE70),"0")</f>
        <v>0</v>
      </c>
      <c r="DN70" s="373" t="str">
        <f>IFERROR(SUM($BI70:BR70)/SUM($AW70:BF70),"0")</f>
        <v>0</v>
      </c>
      <c r="DO70" s="373" t="str">
        <f>IFERROR(SUM($BI70:BS70)/SUM($AW70:BG70),"0")</f>
        <v>0</v>
      </c>
      <c r="DP70" s="374" t="str">
        <f>IFERROR(SUM($BI70:BT70)/SUM($AW70:BH70),"0")</f>
        <v>0</v>
      </c>
    </row>
    <row r="71" spans="1:120" s="399" customFormat="1" ht="39" customHeight="1" x14ac:dyDescent="0.25">
      <c r="A71" s="400" t="s">
        <v>602</v>
      </c>
      <c r="B71" s="207" t="s">
        <v>290</v>
      </c>
      <c r="C71" s="385" t="s">
        <v>923</v>
      </c>
      <c r="D71" s="207" t="s">
        <v>319</v>
      </c>
      <c r="E71" s="384" t="s">
        <v>443</v>
      </c>
      <c r="F71" s="384" t="s">
        <v>924</v>
      </c>
      <c r="G71" s="207" t="s">
        <v>290</v>
      </c>
      <c r="H71" s="409" t="s">
        <v>925</v>
      </c>
      <c r="I71" s="402" t="s">
        <v>357</v>
      </c>
      <c r="J71" s="384" t="s">
        <v>606</v>
      </c>
      <c r="K71" s="385" t="s">
        <v>897</v>
      </c>
      <c r="L71" s="385" t="s">
        <v>448</v>
      </c>
      <c r="M71" s="385" t="s">
        <v>406</v>
      </c>
      <c r="N71" s="385"/>
      <c r="O71" s="385"/>
      <c r="P71" s="392" t="s">
        <v>926</v>
      </c>
      <c r="Q71" s="384" t="s">
        <v>927</v>
      </c>
      <c r="R71" s="384" t="s">
        <v>928</v>
      </c>
      <c r="S71" s="384" t="s">
        <v>929</v>
      </c>
      <c r="T71" s="384" t="s">
        <v>930</v>
      </c>
      <c r="U71" s="384" t="s">
        <v>931</v>
      </c>
      <c r="V71" s="384" t="s">
        <v>613</v>
      </c>
      <c r="W71" s="384" t="s">
        <v>613</v>
      </c>
      <c r="X71" s="410" t="s">
        <v>274</v>
      </c>
      <c r="Y71" s="384" t="s">
        <v>274</v>
      </c>
      <c r="Z71" s="387" t="s">
        <v>193</v>
      </c>
      <c r="AA71" s="384" t="s">
        <v>456</v>
      </c>
      <c r="AB71" s="354" t="s">
        <v>217</v>
      </c>
      <c r="AC71" s="384" t="s">
        <v>301</v>
      </c>
      <c r="AD71" s="384" t="s">
        <v>301</v>
      </c>
      <c r="AE71" s="384" t="s">
        <v>302</v>
      </c>
      <c r="AF71" s="350">
        <v>0</v>
      </c>
      <c r="AG71" s="389">
        <v>100</v>
      </c>
      <c r="AH71" s="389">
        <v>0</v>
      </c>
      <c r="AI71" s="389">
        <v>0</v>
      </c>
      <c r="AJ71" s="390">
        <v>0</v>
      </c>
      <c r="AK71" s="390">
        <v>0</v>
      </c>
      <c r="AL71" s="350">
        <v>0</v>
      </c>
      <c r="AM71" s="385">
        <v>100</v>
      </c>
      <c r="AN71" s="389"/>
      <c r="AO71" s="389"/>
      <c r="AP71" s="389"/>
      <c r="AQ71" s="389"/>
      <c r="AR71" s="391" t="str">
        <f t="shared" si="11"/>
        <v>0</v>
      </c>
      <c r="AS71" s="391">
        <f t="shared" si="13"/>
        <v>1</v>
      </c>
      <c r="AT71" s="391" t="str">
        <f t="shared" si="18"/>
        <v>0</v>
      </c>
      <c r="AU71" s="391" t="str">
        <f t="shared" si="14"/>
        <v>0</v>
      </c>
      <c r="AV71" s="391" t="str">
        <f t="shared" si="15"/>
        <v>0</v>
      </c>
      <c r="AW71" s="364">
        <v>0</v>
      </c>
      <c r="AX71" s="364">
        <v>0</v>
      </c>
      <c r="AY71" s="364">
        <v>0</v>
      </c>
      <c r="AZ71" s="364">
        <v>0</v>
      </c>
      <c r="BA71" s="364">
        <v>0</v>
      </c>
      <c r="BB71" s="364">
        <v>0</v>
      </c>
      <c r="BC71" s="364">
        <v>0</v>
      </c>
      <c r="BD71" s="364">
        <v>0</v>
      </c>
      <c r="BE71" s="364">
        <v>0</v>
      </c>
      <c r="BF71" s="364">
        <v>0</v>
      </c>
      <c r="BG71" s="364">
        <v>0</v>
      </c>
      <c r="BH71" s="364">
        <v>0</v>
      </c>
      <c r="BI71" s="364"/>
      <c r="BJ71" s="364"/>
      <c r="BK71" s="364"/>
      <c r="BL71" s="364"/>
      <c r="BM71" s="364"/>
      <c r="BN71" s="364"/>
      <c r="BO71" s="360"/>
      <c r="BP71" s="364"/>
      <c r="BQ71" s="364"/>
      <c r="BR71" s="364"/>
      <c r="BS71" s="364"/>
      <c r="BT71" s="364"/>
      <c r="BU71" s="392"/>
      <c r="BV71" s="392"/>
      <c r="BW71" s="392"/>
      <c r="BX71" s="392"/>
      <c r="BY71" s="392"/>
      <c r="BZ71" s="392"/>
      <c r="CA71" s="392"/>
      <c r="CB71" s="392"/>
      <c r="CC71" s="392"/>
      <c r="CD71" s="392"/>
      <c r="CE71" s="392"/>
      <c r="CF71" s="392"/>
      <c r="CG71" s="393"/>
      <c r="CH71" s="504">
        <f t="shared" si="20"/>
        <v>0</v>
      </c>
      <c r="CI71" s="394"/>
      <c r="CJ71" s="410">
        <v>0</v>
      </c>
      <c r="CK71" s="410">
        <v>0.7</v>
      </c>
      <c r="CL71" s="410">
        <v>0.71</v>
      </c>
      <c r="CM71" s="410">
        <v>1</v>
      </c>
      <c r="CN71" s="410"/>
      <c r="CO71" s="410"/>
      <c r="CP71" s="412" t="s">
        <v>332</v>
      </c>
      <c r="CQ71" s="207" t="str">
        <f t="shared" si="16"/>
        <v>TÁCTICO</v>
      </c>
      <c r="CR71" s="397">
        <f t="shared" si="17"/>
        <v>0</v>
      </c>
      <c r="CS71" s="398">
        <f>IFERROR(SUM($BI71:BI71)/SUM($AW71:AW71),0)</f>
        <v>0</v>
      </c>
      <c r="CT71" s="398">
        <f>IFERROR(SUM($BI71:BJ71)/SUM($AW71:AX71),0)</f>
        <v>0</v>
      </c>
      <c r="CU71" s="398">
        <f>IFERROR(SUM($BI71:BK71)/SUM($AW71:AY71),0)</f>
        <v>0</v>
      </c>
      <c r="CV71" s="398">
        <f>IFERROR(SUM($BI71:BL71)/SUM($AW71:AZ71),0)</f>
        <v>0</v>
      </c>
      <c r="CW71" s="398">
        <f>IFERROR(SUM($BI71:BM71)/SUM($AW71:BA71),0)</f>
        <v>0</v>
      </c>
      <c r="CX71" s="398">
        <f>IFERROR(SUM($BI71:BN71)/SUM($AW71:BB71),0)</f>
        <v>0</v>
      </c>
      <c r="CY71" s="398">
        <f>IFERROR(SUM($BI71:BO71)/SUM($AW71:BC71),0)</f>
        <v>0</v>
      </c>
      <c r="CZ71" s="398">
        <f>IFERROR(SUM($BI71:BP71)/SUM($AW71:BD71),0)</f>
        <v>0</v>
      </c>
      <c r="DA71" s="398">
        <f>IFERROR(SUM($BI71:BQ71)/SUM($AW71:BE71),0)</f>
        <v>0</v>
      </c>
      <c r="DB71" s="398">
        <f>IFERROR(SUM($BI71:BR71)/SUM($AW71:BF71),0)</f>
        <v>0</v>
      </c>
      <c r="DC71" s="398">
        <f>IFERROR(SUM($BI71:BS71)/SUM($AW71:BG71),0)</f>
        <v>0</v>
      </c>
      <c r="DD71" s="398">
        <f>IFERROR(SUM($BI71:BT71)/SUM($AW71:BH71),0)</f>
        <v>0</v>
      </c>
      <c r="DE71" s="405" t="str">
        <f t="shared" si="19"/>
        <v>0</v>
      </c>
      <c r="DF71" s="406" t="str">
        <f>IFERROR(SUM($BI71:BJ71)/SUM($AW71:AX71),"0")</f>
        <v>0</v>
      </c>
      <c r="DG71" s="407" t="str">
        <f>IFERROR(SUM($BI71:BK71)/SUM($AW71:AY71),"0")</f>
        <v>0</v>
      </c>
      <c r="DH71" s="407" t="str">
        <f>IFERROR(SUM($BI71:BL71)/SUM($AW71:AZ71),"0")</f>
        <v>0</v>
      </c>
      <c r="DI71" s="407" t="str">
        <f>IFERROR(SUM($BI71:BM71)/SUM($AW71:BA71),"0")</f>
        <v>0</v>
      </c>
      <c r="DJ71" s="407" t="str">
        <f>IFERROR(SUM($BI71:BN71)/SUM($AW71:BB71),"0")</f>
        <v>0</v>
      </c>
      <c r="DK71" s="407" t="str">
        <f>IFERROR(SUM($BI71:BO71)/SUM($AW71:BC71),"0")</f>
        <v>0</v>
      </c>
      <c r="DL71" s="407" t="str">
        <f>IFERROR(SUM($BI71:BP71)/SUM($AW71:BD71),"0")</f>
        <v>0</v>
      </c>
      <c r="DM71" s="407" t="str">
        <f>IFERROR(SUM($BI71:BQ71)/SUM($AW71:BE71),"0")</f>
        <v>0</v>
      </c>
      <c r="DN71" s="407" t="str">
        <f>IFERROR(SUM($BI71:BR71)/SUM($AW71:BF71),"0")</f>
        <v>0</v>
      </c>
      <c r="DO71" s="407" t="str">
        <f>IFERROR(SUM($BI71:BS71)/SUM($AW71:BG71),"0")</f>
        <v>0</v>
      </c>
      <c r="DP71" s="408" t="str">
        <f>IFERROR(SUM($BI71:BT71)/SUM($AW71:BH71),"0")</f>
        <v>0</v>
      </c>
    </row>
    <row r="72" spans="1:120" s="399" customFormat="1" ht="39" customHeight="1" x14ac:dyDescent="0.25">
      <c r="A72" s="400" t="s">
        <v>602</v>
      </c>
      <c r="B72" s="207" t="s">
        <v>290</v>
      </c>
      <c r="C72" s="385" t="s">
        <v>932</v>
      </c>
      <c r="D72" s="207" t="s">
        <v>319</v>
      </c>
      <c r="E72" s="384" t="s">
        <v>443</v>
      </c>
      <c r="F72" s="384" t="s">
        <v>933</v>
      </c>
      <c r="G72" s="207" t="s">
        <v>290</v>
      </c>
      <c r="H72" s="409" t="s">
        <v>934</v>
      </c>
      <c r="I72" s="402" t="s">
        <v>357</v>
      </c>
      <c r="J72" s="384" t="s">
        <v>606</v>
      </c>
      <c r="K72" s="385" t="s">
        <v>897</v>
      </c>
      <c r="L72" s="385" t="s">
        <v>448</v>
      </c>
      <c r="M72" s="385" t="s">
        <v>406</v>
      </c>
      <c r="N72" s="385" t="s">
        <v>206</v>
      </c>
      <c r="O72" s="385"/>
      <c r="P72" s="392" t="s">
        <v>935</v>
      </c>
      <c r="Q72" s="384" t="s">
        <v>936</v>
      </c>
      <c r="R72" s="384" t="s">
        <v>937</v>
      </c>
      <c r="S72" s="384" t="s">
        <v>938</v>
      </c>
      <c r="T72" s="384" t="s">
        <v>939</v>
      </c>
      <c r="U72" s="384" t="s">
        <v>940</v>
      </c>
      <c r="V72" s="384" t="s">
        <v>613</v>
      </c>
      <c r="W72" s="384" t="s">
        <v>613</v>
      </c>
      <c r="X72" s="385">
        <v>90</v>
      </c>
      <c r="Y72" s="384" t="s">
        <v>922</v>
      </c>
      <c r="Z72" s="387" t="s">
        <v>193</v>
      </c>
      <c r="AA72" s="384" t="s">
        <v>456</v>
      </c>
      <c r="AB72" s="354" t="s">
        <v>217</v>
      </c>
      <c r="AC72" s="384" t="s">
        <v>301</v>
      </c>
      <c r="AD72" s="384" t="s">
        <v>301</v>
      </c>
      <c r="AE72" s="384" t="s">
        <v>302</v>
      </c>
      <c r="AF72" s="350">
        <v>0</v>
      </c>
      <c r="AG72" s="389">
        <v>100</v>
      </c>
      <c r="AH72" s="389">
        <v>0</v>
      </c>
      <c r="AI72" s="389">
        <v>0</v>
      </c>
      <c r="AJ72" s="390">
        <v>0</v>
      </c>
      <c r="AK72" s="390">
        <v>0</v>
      </c>
      <c r="AL72" s="350">
        <v>0</v>
      </c>
      <c r="AM72" s="389">
        <v>100</v>
      </c>
      <c r="AN72" s="389"/>
      <c r="AO72" s="389"/>
      <c r="AP72" s="389"/>
      <c r="AQ72" s="389"/>
      <c r="AR72" s="391" t="str">
        <f t="shared" si="11"/>
        <v>0</v>
      </c>
      <c r="AS72" s="391">
        <f t="shared" si="13"/>
        <v>1</v>
      </c>
      <c r="AT72" s="391" t="str">
        <f t="shared" si="18"/>
        <v>0</v>
      </c>
      <c r="AU72" s="391" t="str">
        <f t="shared" si="14"/>
        <v>0</v>
      </c>
      <c r="AV72" s="391" t="str">
        <f t="shared" si="15"/>
        <v>0</v>
      </c>
      <c r="AW72" s="364">
        <v>0</v>
      </c>
      <c r="AX72" s="364">
        <v>0</v>
      </c>
      <c r="AY72" s="364">
        <v>0</v>
      </c>
      <c r="AZ72" s="364">
        <v>0</v>
      </c>
      <c r="BA72" s="364">
        <v>0</v>
      </c>
      <c r="BB72" s="364">
        <v>0</v>
      </c>
      <c r="BC72" s="364">
        <v>0</v>
      </c>
      <c r="BD72" s="364">
        <v>0</v>
      </c>
      <c r="BE72" s="364">
        <v>0</v>
      </c>
      <c r="BF72" s="364">
        <v>0</v>
      </c>
      <c r="BG72" s="364">
        <v>0</v>
      </c>
      <c r="BH72" s="364">
        <v>0</v>
      </c>
      <c r="BI72" s="364"/>
      <c r="BJ72" s="364"/>
      <c r="BK72" s="364"/>
      <c r="BL72" s="364"/>
      <c r="BM72" s="364"/>
      <c r="BN72" s="364"/>
      <c r="BO72" s="360"/>
      <c r="BP72" s="364"/>
      <c r="BQ72" s="364"/>
      <c r="BR72" s="364"/>
      <c r="BS72" s="364"/>
      <c r="BT72" s="364"/>
      <c r="BU72" s="392"/>
      <c r="BV72" s="392"/>
      <c r="BW72" s="392"/>
      <c r="BX72" s="392"/>
      <c r="BY72" s="392"/>
      <c r="BZ72" s="392"/>
      <c r="CA72" s="392"/>
      <c r="CB72" s="392"/>
      <c r="CC72" s="392"/>
      <c r="CD72" s="392"/>
      <c r="CE72" s="392"/>
      <c r="CF72" s="392"/>
      <c r="CG72" s="393"/>
      <c r="CH72" s="504">
        <f t="shared" si="20"/>
        <v>0</v>
      </c>
      <c r="CI72" s="394"/>
      <c r="CJ72" s="410">
        <v>0</v>
      </c>
      <c r="CK72" s="410">
        <v>0.7</v>
      </c>
      <c r="CL72" s="410">
        <v>0.71</v>
      </c>
      <c r="CM72" s="410">
        <v>1</v>
      </c>
      <c r="CN72" s="410"/>
      <c r="CO72" s="410"/>
      <c r="CP72" s="411" t="s">
        <v>341</v>
      </c>
      <c r="CQ72" s="207" t="str">
        <f t="shared" si="16"/>
        <v>TÁCTICO</v>
      </c>
      <c r="CR72" s="397">
        <f t="shared" si="17"/>
        <v>0</v>
      </c>
      <c r="CS72" s="398">
        <f>IFERROR(SUM($BI72:BI72)/SUM($AW72:AW72),0)</f>
        <v>0</v>
      </c>
      <c r="CT72" s="398">
        <f>IFERROR(SUM($BI72:BJ72)/SUM($AW72:AX72),0)</f>
        <v>0</v>
      </c>
      <c r="CU72" s="398">
        <f>IFERROR(SUM($BI72:BK72)/SUM($AW72:AY72),0)</f>
        <v>0</v>
      </c>
      <c r="CV72" s="398">
        <f>IFERROR(SUM($BI72:BL72)/SUM($AW72:AZ72),0)</f>
        <v>0</v>
      </c>
      <c r="CW72" s="398">
        <f>IFERROR(SUM($BI72:BM72)/SUM($AW72:BA72),0)</f>
        <v>0</v>
      </c>
      <c r="CX72" s="398">
        <f>IFERROR(SUM($BI72:BN72)/SUM($AW72:BB72),0)</f>
        <v>0</v>
      </c>
      <c r="CY72" s="398">
        <f>IFERROR(SUM($BI72:BO72)/SUM($AW72:BC72),0)</f>
        <v>0</v>
      </c>
      <c r="CZ72" s="398">
        <f>IFERROR(SUM($BI72:BP72)/SUM($AW72:BD72),0)</f>
        <v>0</v>
      </c>
      <c r="DA72" s="398">
        <f>IFERROR(SUM($BI72:BQ72)/SUM($AW72:BE72),0)</f>
        <v>0</v>
      </c>
      <c r="DB72" s="398">
        <f>IFERROR(SUM($BI72:BR72)/SUM($AW72:BF72),0)</f>
        <v>0</v>
      </c>
      <c r="DC72" s="398">
        <f>IFERROR(SUM($BI72:BS72)/SUM($AW72:BG72),0)</f>
        <v>0</v>
      </c>
      <c r="DD72" s="398">
        <f>IFERROR(SUM($BI72:BT72)/SUM($AW72:BH72),0)</f>
        <v>0</v>
      </c>
      <c r="DE72" s="371" t="str">
        <f t="shared" si="19"/>
        <v>0</v>
      </c>
      <c r="DF72" s="372" t="str">
        <f>IFERROR(SUM($BI72:BJ72)/SUM($AW72:AX72),"0")</f>
        <v>0</v>
      </c>
      <c r="DG72" s="373" t="str">
        <f>IFERROR(SUM($BI72:BK72)/SUM($AW72:AY72),"0")</f>
        <v>0</v>
      </c>
      <c r="DH72" s="373" t="str">
        <f>IFERROR(SUM($BI72:BL72)/SUM($AW72:AZ72),"0")</f>
        <v>0</v>
      </c>
      <c r="DI72" s="373" t="str">
        <f>IFERROR(SUM($BI72:BM72)/SUM($AW72:BA72),"0")</f>
        <v>0</v>
      </c>
      <c r="DJ72" s="373" t="str">
        <f>IFERROR(SUM($BI72:BN72)/SUM($AW72:BB72),"0")</f>
        <v>0</v>
      </c>
      <c r="DK72" s="373" t="str">
        <f>IFERROR(SUM($BI72:BO72)/SUM($AW72:BC72),"0")</f>
        <v>0</v>
      </c>
      <c r="DL72" s="373" t="str">
        <f>IFERROR(SUM($BI72:BP72)/SUM($AW72:BD72),"0")</f>
        <v>0</v>
      </c>
      <c r="DM72" s="373" t="str">
        <f>IFERROR(SUM($BI72:BQ72)/SUM($AW72:BE72),"0")</f>
        <v>0</v>
      </c>
      <c r="DN72" s="373" t="str">
        <f>IFERROR(SUM($BI72:BR72)/SUM($AW72:BF72),"0")</f>
        <v>0</v>
      </c>
      <c r="DO72" s="373" t="str">
        <f>IFERROR(SUM($BI72:BS72)/SUM($AW72:BG72),"0")</f>
        <v>0</v>
      </c>
      <c r="DP72" s="374" t="str">
        <f>IFERROR(SUM($BI72:BT72)/SUM($AW72:BH72),"0")</f>
        <v>0</v>
      </c>
    </row>
    <row r="73" spans="1:120" s="399" customFormat="1" ht="39" customHeight="1" x14ac:dyDescent="0.25">
      <c r="A73" s="400" t="s">
        <v>602</v>
      </c>
      <c r="B73" s="207" t="s">
        <v>290</v>
      </c>
      <c r="C73" s="385" t="s">
        <v>941</v>
      </c>
      <c r="D73" s="207" t="s">
        <v>470</v>
      </c>
      <c r="E73" s="384" t="s">
        <v>443</v>
      </c>
      <c r="F73" s="384" t="s">
        <v>942</v>
      </c>
      <c r="G73" s="207" t="s">
        <v>290</v>
      </c>
      <c r="H73" s="409" t="s">
        <v>943</v>
      </c>
      <c r="I73" s="402" t="s">
        <v>357</v>
      </c>
      <c r="J73" s="384" t="s">
        <v>606</v>
      </c>
      <c r="K73" s="385" t="s">
        <v>897</v>
      </c>
      <c r="L73" s="385" t="s">
        <v>448</v>
      </c>
      <c r="M73" s="385" t="s">
        <v>944</v>
      </c>
      <c r="N73" s="385"/>
      <c r="O73" s="385"/>
      <c r="P73" s="392" t="s">
        <v>1261</v>
      </c>
      <c r="Q73" s="384" t="s">
        <v>945</v>
      </c>
      <c r="R73" s="384" t="s">
        <v>946</v>
      </c>
      <c r="S73" s="384" t="s">
        <v>1262</v>
      </c>
      <c r="T73" s="384" t="s">
        <v>947</v>
      </c>
      <c r="U73" s="384" t="s">
        <v>1263</v>
      </c>
      <c r="V73" s="384" t="s">
        <v>613</v>
      </c>
      <c r="W73" s="384" t="s">
        <v>613</v>
      </c>
      <c r="X73" s="385" t="s">
        <v>274</v>
      </c>
      <c r="Y73" s="384" t="s">
        <v>274</v>
      </c>
      <c r="Z73" s="387" t="s">
        <v>193</v>
      </c>
      <c r="AA73" s="384" t="s">
        <v>456</v>
      </c>
      <c r="AB73" s="354" t="s">
        <v>195</v>
      </c>
      <c r="AC73" s="384" t="s">
        <v>301</v>
      </c>
      <c r="AD73" s="384" t="s">
        <v>301</v>
      </c>
      <c r="AE73" s="384" t="s">
        <v>302</v>
      </c>
      <c r="AF73" s="385">
        <v>0</v>
      </c>
      <c r="AG73" s="389">
        <v>100</v>
      </c>
      <c r="AH73" s="389">
        <v>0</v>
      </c>
      <c r="AI73" s="389">
        <v>0</v>
      </c>
      <c r="AJ73" s="390">
        <v>0</v>
      </c>
      <c r="AK73" s="390">
        <v>0</v>
      </c>
      <c r="AL73" s="389">
        <v>0</v>
      </c>
      <c r="AM73" s="389">
        <v>100</v>
      </c>
      <c r="AN73" s="389"/>
      <c r="AO73" s="389"/>
      <c r="AP73" s="389"/>
      <c r="AQ73" s="389"/>
      <c r="AR73" s="391" t="str">
        <f t="shared" si="11"/>
        <v>0</v>
      </c>
      <c r="AS73" s="391">
        <f t="shared" si="13"/>
        <v>1</v>
      </c>
      <c r="AT73" s="391" t="str">
        <f t="shared" si="18"/>
        <v>0</v>
      </c>
      <c r="AU73" s="391" t="str">
        <f t="shared" si="14"/>
        <v>0</v>
      </c>
      <c r="AV73" s="391" t="str">
        <f t="shared" si="15"/>
        <v>0</v>
      </c>
      <c r="AW73" s="364">
        <v>0</v>
      </c>
      <c r="AX73" s="364">
        <v>0</v>
      </c>
      <c r="AY73" s="364">
        <v>0</v>
      </c>
      <c r="AZ73" s="364">
        <v>0</v>
      </c>
      <c r="BA73" s="364">
        <v>0</v>
      </c>
      <c r="BB73" s="364">
        <v>0</v>
      </c>
      <c r="BC73" s="364">
        <v>0</v>
      </c>
      <c r="BD73" s="364">
        <v>0</v>
      </c>
      <c r="BE73" s="364">
        <v>0</v>
      </c>
      <c r="BF73" s="364">
        <v>0</v>
      </c>
      <c r="BG73" s="364">
        <v>0</v>
      </c>
      <c r="BH73" s="364">
        <v>0</v>
      </c>
      <c r="BI73" s="364"/>
      <c r="BJ73" s="364"/>
      <c r="BK73" s="364"/>
      <c r="BL73" s="364"/>
      <c r="BM73" s="364"/>
      <c r="BN73" s="364"/>
      <c r="BO73" s="360"/>
      <c r="BP73" s="364"/>
      <c r="BQ73" s="364"/>
      <c r="BR73" s="364"/>
      <c r="BS73" s="364"/>
      <c r="BT73" s="364"/>
      <c r="BU73" s="392"/>
      <c r="BV73" s="392"/>
      <c r="BW73" s="392"/>
      <c r="BX73" s="392"/>
      <c r="BY73" s="392"/>
      <c r="BZ73" s="392"/>
      <c r="CA73" s="392"/>
      <c r="CB73" s="392"/>
      <c r="CC73" s="392"/>
      <c r="CD73" s="392"/>
      <c r="CE73" s="392"/>
      <c r="CF73" s="392"/>
      <c r="CG73" s="393"/>
      <c r="CH73" s="504">
        <f t="shared" si="20"/>
        <v>0</v>
      </c>
      <c r="CI73" s="394"/>
      <c r="CJ73" s="410">
        <v>0</v>
      </c>
      <c r="CK73" s="410">
        <v>0.7</v>
      </c>
      <c r="CL73" s="410">
        <v>0.71</v>
      </c>
      <c r="CM73" s="410">
        <v>1</v>
      </c>
      <c r="CN73" s="410"/>
      <c r="CO73" s="410"/>
      <c r="CP73" s="411" t="s">
        <v>341</v>
      </c>
      <c r="CQ73" s="207" t="str">
        <f t="shared" si="16"/>
        <v>OPERATIVO</v>
      </c>
      <c r="CR73" s="397">
        <f t="shared" si="17"/>
        <v>0</v>
      </c>
      <c r="CS73" s="398">
        <f>IFERROR(SUM($BI73:BI73)/SUM($AW73:AW73),0)</f>
        <v>0</v>
      </c>
      <c r="CT73" s="398">
        <f>IFERROR(SUM($BI73:BJ73)/SUM($AW73:AX73),0)</f>
        <v>0</v>
      </c>
      <c r="CU73" s="398">
        <f>IFERROR(SUM($BI73:BK73)/SUM($AW73:AY73),0)</f>
        <v>0</v>
      </c>
      <c r="CV73" s="398">
        <f>IFERROR(SUM($BI73:BL73)/SUM($AW73:AZ73),0)</f>
        <v>0</v>
      </c>
      <c r="CW73" s="398">
        <f>IFERROR(SUM($BI73:BM73)/SUM($AW73:BA73),0)</f>
        <v>0</v>
      </c>
      <c r="CX73" s="398">
        <f>IFERROR(SUM($BI73:BN73)/SUM($AW73:BB73),0)</f>
        <v>0</v>
      </c>
      <c r="CY73" s="398">
        <f>IFERROR(SUM($BI73:BO73)/SUM($AW73:BC73),0)</f>
        <v>0</v>
      </c>
      <c r="CZ73" s="398">
        <f>IFERROR(SUM($BI73:BP73)/SUM($AW73:BD73),0)</f>
        <v>0</v>
      </c>
      <c r="DA73" s="398">
        <f>IFERROR(SUM($BI73:BQ73)/SUM($AW73:BE73),0)</f>
        <v>0</v>
      </c>
      <c r="DB73" s="398">
        <f>IFERROR(SUM($BI73:BR73)/SUM($AW73:BF73),0)</f>
        <v>0</v>
      </c>
      <c r="DC73" s="398">
        <f>IFERROR(SUM($BI73:BS73)/SUM($AW73:BG73),0)</f>
        <v>0</v>
      </c>
      <c r="DD73" s="398">
        <f>IFERROR(SUM($BI73:BT73)/SUM($AW73:BH73),0)</f>
        <v>0</v>
      </c>
      <c r="DE73" s="405" t="str">
        <f t="shared" si="19"/>
        <v>0</v>
      </c>
      <c r="DF73" s="406" t="str">
        <f>IFERROR(SUM($BI73:BJ73)/SUM($AW73:AX73),"0")</f>
        <v>0</v>
      </c>
      <c r="DG73" s="407" t="str">
        <f>IFERROR(SUM($BI73:BK73)/SUM($AW73:AY73),"0")</f>
        <v>0</v>
      </c>
      <c r="DH73" s="407" t="str">
        <f>IFERROR(SUM($BI73:BL73)/SUM($AW73:AZ73),"0")</f>
        <v>0</v>
      </c>
      <c r="DI73" s="407" t="str">
        <f>IFERROR(SUM($BI73:BM73)/SUM($AW73:BA73),"0")</f>
        <v>0</v>
      </c>
      <c r="DJ73" s="407" t="str">
        <f>IFERROR(SUM($BI73:BN73)/SUM($AW73:BB73),"0")</f>
        <v>0</v>
      </c>
      <c r="DK73" s="407" t="str">
        <f>IFERROR(SUM($BI73:BO73)/SUM($AW73:BC73),"0")</f>
        <v>0</v>
      </c>
      <c r="DL73" s="407" t="str">
        <f>IFERROR(SUM($BI73:BP73)/SUM($AW73:BD73),"0")</f>
        <v>0</v>
      </c>
      <c r="DM73" s="407" t="str">
        <f>IFERROR(SUM($BI73:BQ73)/SUM($AW73:BE73),"0")</f>
        <v>0</v>
      </c>
      <c r="DN73" s="407" t="str">
        <f>IFERROR(SUM($BI73:BR73)/SUM($AW73:BF73),"0")</f>
        <v>0</v>
      </c>
      <c r="DO73" s="407" t="str">
        <f>IFERROR(SUM($BI73:BS73)/SUM($AW73:BG73),"0")</f>
        <v>0</v>
      </c>
      <c r="DP73" s="408" t="str">
        <f>IFERROR(SUM($BI73:BT73)/SUM($AW73:BH73),"0")</f>
        <v>0</v>
      </c>
    </row>
    <row r="74" spans="1:120" s="399" customFormat="1" ht="39" customHeight="1" x14ac:dyDescent="0.25">
      <c r="A74" s="384" t="s">
        <v>948</v>
      </c>
      <c r="B74" s="207" t="s">
        <v>201</v>
      </c>
      <c r="C74" s="385" t="s">
        <v>949</v>
      </c>
      <c r="D74" s="207" t="s">
        <v>470</v>
      </c>
      <c r="E74" s="207" t="s">
        <v>443</v>
      </c>
      <c r="F74" s="403" t="s">
        <v>950</v>
      </c>
      <c r="G74" s="207" t="s">
        <v>201</v>
      </c>
      <c r="H74" s="403" t="s">
        <v>951</v>
      </c>
      <c r="I74" s="386" t="s">
        <v>180</v>
      </c>
      <c r="J74" s="402" t="s">
        <v>205</v>
      </c>
      <c r="K74" s="385" t="s">
        <v>897</v>
      </c>
      <c r="L74" s="392" t="s">
        <v>448</v>
      </c>
      <c r="M74" s="392"/>
      <c r="N74" s="392"/>
      <c r="O74" s="392"/>
      <c r="P74" s="403" t="s">
        <v>952</v>
      </c>
      <c r="Q74" s="403" t="s">
        <v>953</v>
      </c>
      <c r="R74" s="403" t="s">
        <v>954</v>
      </c>
      <c r="S74" s="403" t="s">
        <v>233</v>
      </c>
      <c r="T74" s="403" t="s">
        <v>955</v>
      </c>
      <c r="U74" s="403" t="s">
        <v>233</v>
      </c>
      <c r="V74" s="403" t="s">
        <v>956</v>
      </c>
      <c r="W74" s="403" t="s">
        <v>233</v>
      </c>
      <c r="X74" s="384">
        <v>0</v>
      </c>
      <c r="Y74" s="384">
        <v>0</v>
      </c>
      <c r="Z74" s="387" t="s">
        <v>193</v>
      </c>
      <c r="AA74" s="403" t="s">
        <v>456</v>
      </c>
      <c r="AB74" s="354" t="s">
        <v>217</v>
      </c>
      <c r="AC74" s="403" t="s">
        <v>661</v>
      </c>
      <c r="AD74" s="403" t="s">
        <v>661</v>
      </c>
      <c r="AE74" s="403" t="s">
        <v>220</v>
      </c>
      <c r="AF74" s="350">
        <v>0</v>
      </c>
      <c r="AG74" s="412">
        <v>12</v>
      </c>
      <c r="AH74" s="412">
        <v>0</v>
      </c>
      <c r="AI74" s="413">
        <v>0</v>
      </c>
      <c r="AJ74" s="390">
        <v>0</v>
      </c>
      <c r="AK74" s="390">
        <v>0</v>
      </c>
      <c r="AL74" s="350">
        <v>0</v>
      </c>
      <c r="AM74" s="414">
        <v>12</v>
      </c>
      <c r="AN74" s="389"/>
      <c r="AO74" s="389"/>
      <c r="AP74" s="413"/>
      <c r="AQ74" s="413"/>
      <c r="AR74" s="391" t="str">
        <f t="shared" si="11"/>
        <v>0</v>
      </c>
      <c r="AS74" s="391">
        <f t="shared" si="13"/>
        <v>1</v>
      </c>
      <c r="AT74" s="391" t="str">
        <f t="shared" si="18"/>
        <v>0</v>
      </c>
      <c r="AU74" s="391" t="str">
        <f t="shared" si="14"/>
        <v>0</v>
      </c>
      <c r="AV74" s="391" t="str">
        <f t="shared" si="15"/>
        <v>0</v>
      </c>
      <c r="AW74" s="364">
        <v>0</v>
      </c>
      <c r="AX74" s="364">
        <v>0</v>
      </c>
      <c r="AY74" s="364">
        <v>0</v>
      </c>
      <c r="AZ74" s="364">
        <v>0</v>
      </c>
      <c r="BA74" s="364">
        <v>0</v>
      </c>
      <c r="BB74" s="364">
        <v>0</v>
      </c>
      <c r="BC74" s="364">
        <v>0</v>
      </c>
      <c r="BD74" s="364">
        <v>0</v>
      </c>
      <c r="BE74" s="364">
        <v>0</v>
      </c>
      <c r="BF74" s="364">
        <v>0</v>
      </c>
      <c r="BG74" s="364">
        <v>0</v>
      </c>
      <c r="BH74" s="364">
        <v>0</v>
      </c>
      <c r="BI74" s="364"/>
      <c r="BJ74" s="364"/>
      <c r="BK74" s="364"/>
      <c r="BL74" s="364"/>
      <c r="BM74" s="364"/>
      <c r="BN74" s="364"/>
      <c r="BO74" s="360"/>
      <c r="BP74" s="364"/>
      <c r="BQ74" s="364"/>
      <c r="BR74" s="364"/>
      <c r="BS74" s="364"/>
      <c r="BT74" s="364"/>
      <c r="BU74" s="392"/>
      <c r="BV74" s="392"/>
      <c r="BW74" s="392"/>
      <c r="BX74" s="392"/>
      <c r="BY74" s="392"/>
      <c r="BZ74" s="392"/>
      <c r="CA74" s="392"/>
      <c r="CB74" s="392"/>
      <c r="CC74" s="392"/>
      <c r="CD74" s="392"/>
      <c r="CE74" s="392"/>
      <c r="CF74" s="392"/>
      <c r="CG74" s="415"/>
      <c r="CH74" s="504">
        <f t="shared" si="20"/>
        <v>0</v>
      </c>
      <c r="CI74" s="394"/>
      <c r="CJ74" s="416">
        <v>8</v>
      </c>
      <c r="CK74" s="416">
        <v>9</v>
      </c>
      <c r="CL74" s="416">
        <v>10</v>
      </c>
      <c r="CM74" s="416">
        <v>11</v>
      </c>
      <c r="CN74" s="416">
        <v>12</v>
      </c>
      <c r="CO74" s="416">
        <v>13</v>
      </c>
      <c r="CP74" s="396"/>
      <c r="CQ74" s="207" t="str">
        <f t="shared" si="16"/>
        <v>OPERATIVO</v>
      </c>
      <c r="CR74" s="397">
        <f t="shared" si="17"/>
        <v>0</v>
      </c>
      <c r="CS74" s="398">
        <f>IFERROR(SUM($BI74:BI74)/SUM($AW74:AW74),0)</f>
        <v>0</v>
      </c>
      <c r="CT74" s="398">
        <f>IFERROR(SUM($BI74:BJ74)/SUM($AW74:AX74),0)</f>
        <v>0</v>
      </c>
      <c r="CU74" s="398">
        <f>IFERROR(SUM($BI74:BK74)/SUM($AW74:AY74),0)</f>
        <v>0</v>
      </c>
      <c r="CV74" s="398">
        <f>IFERROR(SUM($BI74:BL74)/SUM($AW74:AZ74),0)</f>
        <v>0</v>
      </c>
      <c r="CW74" s="398">
        <f>IFERROR(SUM($BI74:BM74)/SUM($AW74:BA74),0)</f>
        <v>0</v>
      </c>
      <c r="CX74" s="398">
        <f>IFERROR(SUM($BI74:BN74)/SUM($AW74:BB74),0)</f>
        <v>0</v>
      </c>
      <c r="CY74" s="398">
        <f>IFERROR(SUM($BI74:BO74)/SUM($AW74:BC74),0)</f>
        <v>0</v>
      </c>
      <c r="CZ74" s="398">
        <f>IFERROR(SUM($BI74:BP74)/SUM($AW74:BD74),0)</f>
        <v>0</v>
      </c>
      <c r="DA74" s="398">
        <f>IFERROR(SUM($BI74:BQ74)/SUM($AW74:BE74),0)</f>
        <v>0</v>
      </c>
      <c r="DB74" s="398">
        <f>IFERROR(SUM($BI74:BR74)/SUM($AW74:BF74),0)</f>
        <v>0</v>
      </c>
      <c r="DC74" s="398">
        <f>IFERROR(SUM($BI74:BS74)/SUM($AW74:BG74),0)</f>
        <v>0</v>
      </c>
      <c r="DD74" s="398">
        <f>IFERROR(SUM($BI74:BT74)/SUM($AW74:BH74),0)</f>
        <v>0</v>
      </c>
      <c r="DE74" s="371" t="str">
        <f t="shared" si="19"/>
        <v>0</v>
      </c>
      <c r="DF74" s="372" t="str">
        <f>IFERROR(SUM($BI74:BJ74)/SUM($AW74:AX74),"0")</f>
        <v>0</v>
      </c>
      <c r="DG74" s="373" t="str">
        <f>IFERROR(SUM($BI74:BK74)/SUM($AW74:AY74),"0")</f>
        <v>0</v>
      </c>
      <c r="DH74" s="373" t="str">
        <f>IFERROR(SUM($BI74:BL74)/SUM($AW74:AZ74),"0")</f>
        <v>0</v>
      </c>
      <c r="DI74" s="373" t="str">
        <f>IFERROR(SUM($BI74:BM74)/SUM($AW74:BA74),"0")</f>
        <v>0</v>
      </c>
      <c r="DJ74" s="373" t="str">
        <f>IFERROR(SUM($BI74:BN74)/SUM($AW74:BB74),"0")</f>
        <v>0</v>
      </c>
      <c r="DK74" s="373" t="str">
        <f>IFERROR(SUM($BI74:BO74)/SUM($AW74:BC74),"0")</f>
        <v>0</v>
      </c>
      <c r="DL74" s="373" t="str">
        <f>IFERROR(SUM($BI74:BP74)/SUM($AW74:BD74),"0")</f>
        <v>0</v>
      </c>
      <c r="DM74" s="373" t="str">
        <f>IFERROR(SUM($BI74:BQ74)/SUM($AW74:BE74),"0")</f>
        <v>0</v>
      </c>
      <c r="DN74" s="373" t="str">
        <f>IFERROR(SUM($BI74:BR74)/SUM($AW74:BF74),"0")</f>
        <v>0</v>
      </c>
      <c r="DO74" s="373" t="str">
        <f>IFERROR(SUM($BI74:BS74)/SUM($AW74:BG74),"0")</f>
        <v>0</v>
      </c>
      <c r="DP74" s="374" t="str">
        <f>IFERROR(SUM($BI74:BT74)/SUM($AW74:BH74),"0")</f>
        <v>0</v>
      </c>
    </row>
    <row r="75" spans="1:120" s="399" customFormat="1" ht="39" customHeight="1" x14ac:dyDescent="0.25">
      <c r="A75" s="384" t="s">
        <v>957</v>
      </c>
      <c r="B75" s="207" t="s">
        <v>201</v>
      </c>
      <c r="C75" s="385" t="s">
        <v>958</v>
      </c>
      <c r="D75" s="207" t="s">
        <v>470</v>
      </c>
      <c r="E75" s="207" t="s">
        <v>443</v>
      </c>
      <c r="F75" s="403" t="s">
        <v>959</v>
      </c>
      <c r="G75" s="207" t="s">
        <v>201</v>
      </c>
      <c r="H75" s="403" t="s">
        <v>960</v>
      </c>
      <c r="I75" s="386" t="s">
        <v>180</v>
      </c>
      <c r="J75" s="402" t="s">
        <v>205</v>
      </c>
      <c r="K75" s="385" t="s">
        <v>897</v>
      </c>
      <c r="L75" s="392" t="s">
        <v>448</v>
      </c>
      <c r="M75" s="392"/>
      <c r="N75" s="392"/>
      <c r="O75" s="392"/>
      <c r="P75" s="403" t="s">
        <v>961</v>
      </c>
      <c r="Q75" s="403" t="s">
        <v>962</v>
      </c>
      <c r="R75" s="403" t="s">
        <v>961</v>
      </c>
      <c r="S75" s="403" t="s">
        <v>233</v>
      </c>
      <c r="T75" s="403" t="s">
        <v>1264</v>
      </c>
      <c r="U75" s="403" t="s">
        <v>233</v>
      </c>
      <c r="V75" s="403" t="s">
        <v>963</v>
      </c>
      <c r="W75" s="403" t="s">
        <v>233</v>
      </c>
      <c r="X75" s="384">
        <v>0</v>
      </c>
      <c r="Y75" s="384">
        <v>0</v>
      </c>
      <c r="Z75" s="387" t="s">
        <v>215</v>
      </c>
      <c r="AA75" s="403" t="s">
        <v>456</v>
      </c>
      <c r="AB75" s="354" t="s">
        <v>217</v>
      </c>
      <c r="AC75" s="403" t="s">
        <v>661</v>
      </c>
      <c r="AD75" s="403" t="s">
        <v>661</v>
      </c>
      <c r="AE75" s="403" t="s">
        <v>220</v>
      </c>
      <c r="AF75" s="350">
        <v>0</v>
      </c>
      <c r="AG75" s="412">
        <v>4</v>
      </c>
      <c r="AH75" s="412">
        <v>0</v>
      </c>
      <c r="AI75" s="413">
        <v>0</v>
      </c>
      <c r="AJ75" s="390">
        <v>0</v>
      </c>
      <c r="AK75" s="390">
        <v>0</v>
      </c>
      <c r="AL75" s="350">
        <v>0</v>
      </c>
      <c r="AM75" s="414">
        <v>4</v>
      </c>
      <c r="AN75" s="389"/>
      <c r="AO75" s="389"/>
      <c r="AP75" s="413"/>
      <c r="AQ75" s="413"/>
      <c r="AR75" s="391" t="str">
        <f t="shared" ref="AR75:AR106" si="21">IFERROR(AL75/AF75,"0")</f>
        <v>0</v>
      </c>
      <c r="AS75" s="391">
        <f t="shared" si="13"/>
        <v>1</v>
      </c>
      <c r="AT75" s="391" t="str">
        <f t="shared" si="18"/>
        <v>0</v>
      </c>
      <c r="AU75" s="391" t="str">
        <f t="shared" si="14"/>
        <v>0</v>
      </c>
      <c r="AV75" s="391" t="str">
        <f t="shared" si="15"/>
        <v>0</v>
      </c>
      <c r="AW75" s="364">
        <v>0</v>
      </c>
      <c r="AX75" s="364">
        <v>0</v>
      </c>
      <c r="AY75" s="364">
        <v>0</v>
      </c>
      <c r="AZ75" s="364">
        <v>0</v>
      </c>
      <c r="BA75" s="364">
        <v>0</v>
      </c>
      <c r="BB75" s="364">
        <v>0</v>
      </c>
      <c r="BC75" s="364">
        <v>0</v>
      </c>
      <c r="BD75" s="364">
        <v>0</v>
      </c>
      <c r="BE75" s="364">
        <v>0</v>
      </c>
      <c r="BF75" s="364">
        <v>0</v>
      </c>
      <c r="BG75" s="364">
        <v>0</v>
      </c>
      <c r="BH75" s="364">
        <v>0</v>
      </c>
      <c r="BI75" s="364"/>
      <c r="BJ75" s="364"/>
      <c r="BK75" s="364"/>
      <c r="BL75" s="364"/>
      <c r="BM75" s="364"/>
      <c r="BN75" s="364"/>
      <c r="BO75" s="360"/>
      <c r="BP75" s="364"/>
      <c r="BQ75" s="364"/>
      <c r="BR75" s="364"/>
      <c r="BS75" s="364"/>
      <c r="BT75" s="364"/>
      <c r="BU75" s="392"/>
      <c r="BV75" s="392"/>
      <c r="BW75" s="392"/>
      <c r="BX75" s="392"/>
      <c r="BY75" s="392"/>
      <c r="BZ75" s="392"/>
      <c r="CA75" s="392"/>
      <c r="CB75" s="392"/>
      <c r="CC75" s="392"/>
      <c r="CD75" s="392"/>
      <c r="CE75" s="392"/>
      <c r="CF75" s="392"/>
      <c r="CG75" s="415"/>
      <c r="CH75" s="504">
        <f t="shared" si="20"/>
        <v>0</v>
      </c>
      <c r="CI75" s="394"/>
      <c r="CJ75" s="416">
        <v>0</v>
      </c>
      <c r="CK75" s="416">
        <v>2</v>
      </c>
      <c r="CL75" s="416">
        <v>3</v>
      </c>
      <c r="CM75" s="416">
        <v>3</v>
      </c>
      <c r="CN75" s="416">
        <v>4</v>
      </c>
      <c r="CO75" s="416">
        <v>4</v>
      </c>
      <c r="CP75" s="389" t="s">
        <v>601</v>
      </c>
      <c r="CQ75" s="207" t="str">
        <f t="shared" si="16"/>
        <v>OPERATIVO</v>
      </c>
      <c r="CR75" s="397">
        <f t="shared" si="17"/>
        <v>0</v>
      </c>
      <c r="CS75" s="398">
        <f>IFERROR(SUM($BI75:BI75)/SUM($AW75:AW75),0)</f>
        <v>0</v>
      </c>
      <c r="CT75" s="398">
        <f>IFERROR(SUM($BI75:BJ75)/SUM($AW75:AX75),0)</f>
        <v>0</v>
      </c>
      <c r="CU75" s="398">
        <f>IFERROR(SUM($BI75:BK75)/SUM($AW75:AY75),0)</f>
        <v>0</v>
      </c>
      <c r="CV75" s="398">
        <f>IFERROR(SUM($BI75:BL75)/SUM($AW75:AZ75),0)</f>
        <v>0</v>
      </c>
      <c r="CW75" s="398">
        <f>IFERROR(SUM($BI75:BM75)/SUM($AW75:BA75),0)</f>
        <v>0</v>
      </c>
      <c r="CX75" s="398">
        <f>IFERROR(SUM($BI75:BN75)/SUM($AW75:BB75),0)</f>
        <v>0</v>
      </c>
      <c r="CY75" s="398">
        <f>IFERROR(SUM($BI75:BO75)/SUM($AW75:BC75),0)</f>
        <v>0</v>
      </c>
      <c r="CZ75" s="398">
        <f>IFERROR(SUM($BI75:BP75)/SUM($AW75:BD75),0)</f>
        <v>0</v>
      </c>
      <c r="DA75" s="398">
        <f>IFERROR(SUM($BI75:BQ75)/SUM($AW75:BE75),0)</f>
        <v>0</v>
      </c>
      <c r="DB75" s="398">
        <f>IFERROR(SUM($BI75:BR75)/SUM($AW75:BF75),0)</f>
        <v>0</v>
      </c>
      <c r="DC75" s="398">
        <f>IFERROR(SUM($BI75:BS75)/SUM($AW75:BG75),0)</f>
        <v>0</v>
      </c>
      <c r="DD75" s="398">
        <f>IFERROR(SUM($BI75:BT75)/SUM($AW75:BH75),0)</f>
        <v>0</v>
      </c>
      <c r="DE75" s="405" t="str">
        <f t="shared" si="19"/>
        <v>0</v>
      </c>
      <c r="DF75" s="406" t="str">
        <f>IFERROR(SUM($BI75:BJ75)/SUM($AW75:AX75),"0")</f>
        <v>0</v>
      </c>
      <c r="DG75" s="407" t="str">
        <f>IFERROR(SUM($BI75:BK75)/SUM($AW75:AY75),"0")</f>
        <v>0</v>
      </c>
      <c r="DH75" s="407" t="str">
        <f>IFERROR(SUM($BI75:BL75)/SUM($AW75:AZ75),"0")</f>
        <v>0</v>
      </c>
      <c r="DI75" s="407" t="str">
        <f>IFERROR(SUM($BI75:BM75)/SUM($AW75:BA75),"0")</f>
        <v>0</v>
      </c>
      <c r="DJ75" s="407" t="str">
        <f>IFERROR(SUM($BI75:BN75)/SUM($AW75:BB75),"0")</f>
        <v>0</v>
      </c>
      <c r="DK75" s="407" t="str">
        <f>IFERROR(SUM($BI75:BO75)/SUM($AW75:BC75),"0")</f>
        <v>0</v>
      </c>
      <c r="DL75" s="407" t="str">
        <f>IFERROR(SUM($BI75:BP75)/SUM($AW75:BD75),"0")</f>
        <v>0</v>
      </c>
      <c r="DM75" s="407" t="str">
        <f>IFERROR(SUM($BI75:BQ75)/SUM($AW75:BE75),"0")</f>
        <v>0</v>
      </c>
      <c r="DN75" s="407" t="str">
        <f>IFERROR(SUM($BI75:BR75)/SUM($AW75:BF75),"0")</f>
        <v>0</v>
      </c>
      <c r="DO75" s="407" t="str">
        <f>IFERROR(SUM($BI75:BS75)/SUM($AW75:BG75),"0")</f>
        <v>0</v>
      </c>
      <c r="DP75" s="408" t="str">
        <f>IFERROR(SUM($BI75:BT75)/SUM($AW75:BH75),"0")</f>
        <v>0</v>
      </c>
    </row>
    <row r="76" spans="1:120" s="399" customFormat="1" ht="39" customHeight="1" x14ac:dyDescent="0.25">
      <c r="A76" s="384" t="s">
        <v>964</v>
      </c>
      <c r="B76" s="207" t="s">
        <v>201</v>
      </c>
      <c r="C76" s="385" t="s">
        <v>965</v>
      </c>
      <c r="D76" s="207" t="s">
        <v>470</v>
      </c>
      <c r="E76" s="207" t="s">
        <v>443</v>
      </c>
      <c r="F76" s="403" t="s">
        <v>966</v>
      </c>
      <c r="G76" s="207" t="s">
        <v>201</v>
      </c>
      <c r="H76" s="403" t="s">
        <v>967</v>
      </c>
      <c r="I76" s="386" t="s">
        <v>180</v>
      </c>
      <c r="J76" s="402" t="s">
        <v>205</v>
      </c>
      <c r="K76" s="385" t="s">
        <v>897</v>
      </c>
      <c r="L76" s="392" t="s">
        <v>448</v>
      </c>
      <c r="M76" s="392"/>
      <c r="N76" s="392"/>
      <c r="O76" s="392"/>
      <c r="P76" s="403" t="s">
        <v>968</v>
      </c>
      <c r="Q76" s="403" t="s">
        <v>969</v>
      </c>
      <c r="R76" s="403" t="s">
        <v>970</v>
      </c>
      <c r="S76" s="403" t="s">
        <v>971</v>
      </c>
      <c r="T76" s="403" t="s">
        <v>972</v>
      </c>
      <c r="U76" s="403" t="s">
        <v>973</v>
      </c>
      <c r="V76" s="403" t="s">
        <v>974</v>
      </c>
      <c r="W76" s="403" t="s">
        <v>975</v>
      </c>
      <c r="X76" s="384">
        <v>0</v>
      </c>
      <c r="Y76" s="384">
        <v>0</v>
      </c>
      <c r="Z76" s="387" t="s">
        <v>193</v>
      </c>
      <c r="AA76" s="403" t="s">
        <v>456</v>
      </c>
      <c r="AB76" s="354" t="s">
        <v>217</v>
      </c>
      <c r="AC76" s="403" t="s">
        <v>661</v>
      </c>
      <c r="AD76" s="403" t="s">
        <v>661</v>
      </c>
      <c r="AE76" s="403" t="s">
        <v>220</v>
      </c>
      <c r="AF76" s="350">
        <v>0</v>
      </c>
      <c r="AG76" s="412">
        <v>100</v>
      </c>
      <c r="AH76" s="412">
        <v>0</v>
      </c>
      <c r="AI76" s="413">
        <v>0</v>
      </c>
      <c r="AJ76" s="390">
        <v>0</v>
      </c>
      <c r="AK76" s="390">
        <v>0</v>
      </c>
      <c r="AL76" s="350">
        <v>0</v>
      </c>
      <c r="AM76" s="385">
        <v>100</v>
      </c>
      <c r="AN76" s="389"/>
      <c r="AO76" s="389"/>
      <c r="AP76" s="413"/>
      <c r="AQ76" s="413"/>
      <c r="AR76" s="391" t="str">
        <f t="shared" si="21"/>
        <v>0</v>
      </c>
      <c r="AS76" s="391">
        <f t="shared" si="13"/>
        <v>1</v>
      </c>
      <c r="AT76" s="391" t="str">
        <f t="shared" si="18"/>
        <v>0</v>
      </c>
      <c r="AU76" s="391" t="str">
        <f t="shared" si="14"/>
        <v>0</v>
      </c>
      <c r="AV76" s="391" t="str">
        <f t="shared" si="15"/>
        <v>0</v>
      </c>
      <c r="AW76" s="364">
        <v>0</v>
      </c>
      <c r="AX76" s="364">
        <v>0</v>
      </c>
      <c r="AY76" s="364">
        <v>0</v>
      </c>
      <c r="AZ76" s="364">
        <v>0</v>
      </c>
      <c r="BA76" s="364">
        <v>0</v>
      </c>
      <c r="BB76" s="364">
        <v>0</v>
      </c>
      <c r="BC76" s="364">
        <v>0</v>
      </c>
      <c r="BD76" s="364">
        <v>0</v>
      </c>
      <c r="BE76" s="364">
        <v>0</v>
      </c>
      <c r="BF76" s="364">
        <v>0</v>
      </c>
      <c r="BG76" s="364">
        <v>0</v>
      </c>
      <c r="BH76" s="364">
        <v>0</v>
      </c>
      <c r="BI76" s="364"/>
      <c r="BJ76" s="364"/>
      <c r="BK76" s="364"/>
      <c r="BL76" s="364"/>
      <c r="BM76" s="364"/>
      <c r="BN76" s="364"/>
      <c r="BO76" s="360"/>
      <c r="BP76" s="364"/>
      <c r="BQ76" s="364"/>
      <c r="BR76" s="364"/>
      <c r="BS76" s="364"/>
      <c r="BT76" s="364"/>
      <c r="BU76" s="392"/>
      <c r="BV76" s="392"/>
      <c r="BW76" s="392"/>
      <c r="BX76" s="392"/>
      <c r="BY76" s="392"/>
      <c r="BZ76" s="392"/>
      <c r="CA76" s="392"/>
      <c r="CB76" s="392"/>
      <c r="CC76" s="392"/>
      <c r="CD76" s="392"/>
      <c r="CE76" s="392"/>
      <c r="CF76" s="392"/>
      <c r="CG76" s="415"/>
      <c r="CH76" s="504">
        <f t="shared" si="20"/>
        <v>0</v>
      </c>
      <c r="CI76" s="394"/>
      <c r="CJ76" s="416">
        <v>0</v>
      </c>
      <c r="CK76" s="416">
        <v>59</v>
      </c>
      <c r="CL76" s="416">
        <v>60</v>
      </c>
      <c r="CM76" s="416">
        <v>89</v>
      </c>
      <c r="CN76" s="416">
        <v>90</v>
      </c>
      <c r="CO76" s="416">
        <v>100</v>
      </c>
      <c r="CP76" s="396"/>
      <c r="CQ76" s="207" t="str">
        <f t="shared" si="16"/>
        <v>OPERATIVO</v>
      </c>
      <c r="CR76" s="397">
        <f t="shared" si="17"/>
        <v>0</v>
      </c>
      <c r="CS76" s="398">
        <f>IFERROR(SUM($BI76:BI76)/SUM($AW76:AW76),0)</f>
        <v>0</v>
      </c>
      <c r="CT76" s="398">
        <f>IFERROR(SUM($BI76:BJ76)/SUM($AW76:AX76),0)</f>
        <v>0</v>
      </c>
      <c r="CU76" s="398">
        <f>IFERROR(SUM($BI76:BK76)/SUM($AW76:AY76),0)</f>
        <v>0</v>
      </c>
      <c r="CV76" s="398">
        <f>IFERROR(SUM($BI76:BL76)/SUM($AW76:AZ76),0)</f>
        <v>0</v>
      </c>
      <c r="CW76" s="398">
        <f>IFERROR(SUM($BI76:BM76)/SUM($AW76:BA76),0)</f>
        <v>0</v>
      </c>
      <c r="CX76" s="398">
        <f>IFERROR(SUM($BI76:BN76)/SUM($AW76:BB76),0)</f>
        <v>0</v>
      </c>
      <c r="CY76" s="398">
        <f>IFERROR(SUM($BI76:BO76)/SUM($AW76:BC76),0)</f>
        <v>0</v>
      </c>
      <c r="CZ76" s="398">
        <f>IFERROR(SUM($BI76:BP76)/SUM($AW76:BD76),0)</f>
        <v>0</v>
      </c>
      <c r="DA76" s="398">
        <f>IFERROR(SUM($BI76:BQ76)/SUM($AW76:BE76),0)</f>
        <v>0</v>
      </c>
      <c r="DB76" s="398">
        <f>IFERROR(SUM($BI76:BR76)/SUM($AW76:BF76),0)</f>
        <v>0</v>
      </c>
      <c r="DC76" s="398">
        <f>IFERROR(SUM($BI76:BS76)/SUM($AW76:BG76),0)</f>
        <v>0</v>
      </c>
      <c r="DD76" s="398">
        <f>IFERROR(SUM($BI76:BT76)/SUM($AW76:BH76),0)</f>
        <v>0</v>
      </c>
      <c r="DE76" s="371" t="str">
        <f t="shared" si="19"/>
        <v>0</v>
      </c>
      <c r="DF76" s="372" t="str">
        <f>IFERROR(SUM($BI76:BJ76)/SUM($AW76:AX76),"0")</f>
        <v>0</v>
      </c>
      <c r="DG76" s="373" t="str">
        <f>IFERROR(SUM($BI76:BK76)/SUM($AW76:AY76),"0")</f>
        <v>0</v>
      </c>
      <c r="DH76" s="373" t="str">
        <f>IFERROR(SUM($BI76:BL76)/SUM($AW76:AZ76),"0")</f>
        <v>0</v>
      </c>
      <c r="DI76" s="373" t="str">
        <f>IFERROR(SUM($BI76:BM76)/SUM($AW76:BA76),"0")</f>
        <v>0</v>
      </c>
      <c r="DJ76" s="373" t="str">
        <f>IFERROR(SUM($BI76:BN76)/SUM($AW76:BB76),"0")</f>
        <v>0</v>
      </c>
      <c r="DK76" s="373" t="str">
        <f>IFERROR(SUM($BI76:BO76)/SUM($AW76:BC76),"0")</f>
        <v>0</v>
      </c>
      <c r="DL76" s="373" t="str">
        <f>IFERROR(SUM($BI76:BP76)/SUM($AW76:BD76),"0")</f>
        <v>0</v>
      </c>
      <c r="DM76" s="373" t="str">
        <f>IFERROR(SUM($BI76:BQ76)/SUM($AW76:BE76),"0")</f>
        <v>0</v>
      </c>
      <c r="DN76" s="373" t="str">
        <f>IFERROR(SUM($BI76:BR76)/SUM($AW76:BF76),"0")</f>
        <v>0</v>
      </c>
      <c r="DO76" s="373" t="str">
        <f>IFERROR(SUM($BI76:BS76)/SUM($AW76:BG76),"0")</f>
        <v>0</v>
      </c>
      <c r="DP76" s="374" t="str">
        <f>IFERROR(SUM($BI76:BT76)/SUM($AW76:BH76),"0")</f>
        <v>0</v>
      </c>
    </row>
    <row r="77" spans="1:120" s="399" customFormat="1" ht="39" customHeight="1" x14ac:dyDescent="0.3">
      <c r="A77" s="384" t="s">
        <v>976</v>
      </c>
      <c r="B77" s="207" t="s">
        <v>250</v>
      </c>
      <c r="C77" s="385" t="s">
        <v>977</v>
      </c>
      <c r="D77" s="207" t="s">
        <v>176</v>
      </c>
      <c r="E77" s="417" t="s">
        <v>443</v>
      </c>
      <c r="F77" s="403" t="s">
        <v>978</v>
      </c>
      <c r="G77" s="207" t="s">
        <v>250</v>
      </c>
      <c r="H77" s="384" t="s">
        <v>979</v>
      </c>
      <c r="I77" s="386" t="s">
        <v>180</v>
      </c>
      <c r="J77" s="354" t="s">
        <v>47</v>
      </c>
      <c r="K77" s="385" t="s">
        <v>897</v>
      </c>
      <c r="L77" s="392" t="s">
        <v>448</v>
      </c>
      <c r="M77" s="392" t="s">
        <v>406</v>
      </c>
      <c r="N77" s="392"/>
      <c r="O77" s="392"/>
      <c r="P77" s="403" t="s">
        <v>980</v>
      </c>
      <c r="Q77" s="418" t="s">
        <v>981</v>
      </c>
      <c r="R77" s="402" t="s">
        <v>982</v>
      </c>
      <c r="S77" s="402" t="s">
        <v>983</v>
      </c>
      <c r="T77" s="402" t="s">
        <v>984</v>
      </c>
      <c r="U77" s="402" t="s">
        <v>985</v>
      </c>
      <c r="V77" s="402" t="s">
        <v>986</v>
      </c>
      <c r="W77" s="402" t="s">
        <v>987</v>
      </c>
      <c r="X77" s="418">
        <v>0</v>
      </c>
      <c r="Y77" s="418">
        <v>0</v>
      </c>
      <c r="Z77" s="387" t="s">
        <v>215</v>
      </c>
      <c r="AA77" s="418" t="s">
        <v>456</v>
      </c>
      <c r="AB77" s="354" t="s">
        <v>217</v>
      </c>
      <c r="AC77" s="403" t="s">
        <v>261</v>
      </c>
      <c r="AD77" s="403" t="s">
        <v>261</v>
      </c>
      <c r="AE77" s="403" t="s">
        <v>262</v>
      </c>
      <c r="AF77" s="350">
        <v>0</v>
      </c>
      <c r="AG77" s="411">
        <v>80</v>
      </c>
      <c r="AH77" s="411">
        <v>0</v>
      </c>
      <c r="AI77" s="411">
        <v>0</v>
      </c>
      <c r="AJ77" s="390">
        <v>0</v>
      </c>
      <c r="AK77" s="390">
        <v>0</v>
      </c>
      <c r="AL77" s="350">
        <v>0</v>
      </c>
      <c r="AM77" s="414">
        <v>100</v>
      </c>
      <c r="AN77" s="389"/>
      <c r="AO77" s="389"/>
      <c r="AP77" s="411"/>
      <c r="AQ77" s="411"/>
      <c r="AR77" s="391" t="str">
        <f t="shared" si="21"/>
        <v>0</v>
      </c>
      <c r="AS77" s="391">
        <f t="shared" ref="AS77:AS108" si="22">IFERROR(AM77/AG77,"0")</f>
        <v>1.25</v>
      </c>
      <c r="AT77" s="391" t="str">
        <f t="shared" si="18"/>
        <v>0</v>
      </c>
      <c r="AU77" s="391" t="str">
        <f t="shared" ref="AU77:AU108" si="23">IFERROR(AP77/AJ77,"0")</f>
        <v>0</v>
      </c>
      <c r="AV77" s="391" t="str">
        <f t="shared" ref="AV77:AV108" si="24">IFERROR(AQ77/AK77,"0")</f>
        <v>0</v>
      </c>
      <c r="AW77" s="364">
        <v>0</v>
      </c>
      <c r="AX77" s="364">
        <v>0</v>
      </c>
      <c r="AY77" s="364">
        <v>0</v>
      </c>
      <c r="AZ77" s="364">
        <v>0</v>
      </c>
      <c r="BA77" s="364">
        <v>0</v>
      </c>
      <c r="BB77" s="364">
        <v>0</v>
      </c>
      <c r="BC77" s="364">
        <v>0</v>
      </c>
      <c r="BD77" s="364">
        <v>0</v>
      </c>
      <c r="BE77" s="364">
        <v>0</v>
      </c>
      <c r="BF77" s="364">
        <v>0</v>
      </c>
      <c r="BG77" s="364">
        <v>0</v>
      </c>
      <c r="BH77" s="364">
        <v>0</v>
      </c>
      <c r="BI77" s="364"/>
      <c r="BJ77" s="364"/>
      <c r="BK77" s="364"/>
      <c r="BL77" s="364"/>
      <c r="BM77" s="364"/>
      <c r="BN77" s="364"/>
      <c r="BO77" s="360"/>
      <c r="BP77" s="364"/>
      <c r="BQ77" s="364"/>
      <c r="BR77" s="364"/>
      <c r="BS77" s="364"/>
      <c r="BT77" s="364"/>
      <c r="BU77" s="392"/>
      <c r="BV77" s="392"/>
      <c r="BW77" s="392"/>
      <c r="BX77" s="392"/>
      <c r="BY77" s="392"/>
      <c r="BZ77" s="392"/>
      <c r="CA77" s="392"/>
      <c r="CB77" s="392"/>
      <c r="CC77" s="392"/>
      <c r="CD77" s="392"/>
      <c r="CE77" s="392"/>
      <c r="CF77" s="392"/>
      <c r="CG77" s="419"/>
      <c r="CH77" s="504">
        <f t="shared" si="20"/>
        <v>0</v>
      </c>
      <c r="CI77" s="394"/>
      <c r="CJ77" s="420">
        <v>0</v>
      </c>
      <c r="CK77" s="420">
        <v>70</v>
      </c>
      <c r="CL77" s="420">
        <v>71</v>
      </c>
      <c r="CM77" s="420">
        <v>95</v>
      </c>
      <c r="CN77" s="420">
        <v>96</v>
      </c>
      <c r="CO77" s="420">
        <v>100</v>
      </c>
      <c r="CP77" s="396"/>
      <c r="CQ77" s="207" t="str">
        <f t="shared" si="16"/>
        <v>ESTRATÉGICO</v>
      </c>
      <c r="CR77" s="397">
        <f t="shared" si="17"/>
        <v>0</v>
      </c>
      <c r="CS77" s="398">
        <f>IFERROR(SUM($BI77:BI77)/SUM($AW77:AW77),0)</f>
        <v>0</v>
      </c>
      <c r="CT77" s="398">
        <f>IFERROR(SUM($BI77:BJ77)/SUM($AW77:AX77),0)</f>
        <v>0</v>
      </c>
      <c r="CU77" s="398">
        <f>IFERROR(SUM($BI77:BK77)/SUM($AW77:AY77),0)</f>
        <v>0</v>
      </c>
      <c r="CV77" s="398">
        <f>IFERROR(SUM($BI77:BL77)/SUM($AW77:AZ77),0)</f>
        <v>0</v>
      </c>
      <c r="CW77" s="398">
        <f>IFERROR(SUM($BI77:BM77)/SUM($AW77:BA77),0)</f>
        <v>0</v>
      </c>
      <c r="CX77" s="398">
        <f>IFERROR(SUM($BI77:BN77)/SUM($AW77:BB77),0)</f>
        <v>0</v>
      </c>
      <c r="CY77" s="398">
        <f>IFERROR(SUM($BI77:BO77)/SUM($AW77:BC77),0)</f>
        <v>0</v>
      </c>
      <c r="CZ77" s="398">
        <f>IFERROR(SUM($BI77:BP77)/SUM($AW77:BD77),0)</f>
        <v>0</v>
      </c>
      <c r="DA77" s="398">
        <f>IFERROR(SUM($BI77:BQ77)/SUM($AW77:BE77),0)</f>
        <v>0</v>
      </c>
      <c r="DB77" s="398">
        <f>IFERROR(SUM($BI77:BR77)/SUM($AW77:BF77),0)</f>
        <v>0</v>
      </c>
      <c r="DC77" s="398">
        <f>IFERROR(SUM($BI77:BS77)/SUM($AW77:BG77),0)</f>
        <v>0</v>
      </c>
      <c r="DD77" s="398">
        <f>IFERROR(SUM($BI77:BT77)/SUM($AW77:BH77),0)</f>
        <v>0</v>
      </c>
      <c r="DE77" s="405" t="str">
        <f t="shared" si="19"/>
        <v>0</v>
      </c>
      <c r="DF77" s="406" t="str">
        <f>IFERROR(SUM($BI77:BJ77)/SUM($AW77:AX77),"0")</f>
        <v>0</v>
      </c>
      <c r="DG77" s="407" t="str">
        <f>IFERROR(SUM($BI77:BK77)/SUM($AW77:AY77),"0")</f>
        <v>0</v>
      </c>
      <c r="DH77" s="407" t="str">
        <f>IFERROR(SUM($BI77:BL77)/SUM($AW77:AZ77),"0")</f>
        <v>0</v>
      </c>
      <c r="DI77" s="407" t="str">
        <f>IFERROR(SUM($BI77:BM77)/SUM($AW77:BA77),"0")</f>
        <v>0</v>
      </c>
      <c r="DJ77" s="407" t="str">
        <f>IFERROR(SUM($BI77:BN77)/SUM($AW77:BB77),"0")</f>
        <v>0</v>
      </c>
      <c r="DK77" s="407" t="str">
        <f>IFERROR(SUM($BI77:BO77)/SUM($AW77:BC77),"0")</f>
        <v>0</v>
      </c>
      <c r="DL77" s="407" t="str">
        <f>IFERROR(SUM($BI77:BP77)/SUM($AW77:BD77),"0")</f>
        <v>0</v>
      </c>
      <c r="DM77" s="407" t="str">
        <f>IFERROR(SUM($BI77:BQ77)/SUM($AW77:BE77),"0")</f>
        <v>0</v>
      </c>
      <c r="DN77" s="407" t="str">
        <f>IFERROR(SUM($BI77:BR77)/SUM($AW77:BF77),"0")</f>
        <v>0</v>
      </c>
      <c r="DO77" s="407" t="str">
        <f>IFERROR(SUM($BI77:BS77)/SUM($AW77:BG77),"0")</f>
        <v>0</v>
      </c>
      <c r="DP77" s="408" t="str">
        <f>IFERROR(SUM($BI77:BT77)/SUM($AW77:BH77),"0")</f>
        <v>0</v>
      </c>
    </row>
    <row r="78" spans="1:120" s="399" customFormat="1" ht="39" customHeight="1" x14ac:dyDescent="0.25">
      <c r="A78" s="384" t="s">
        <v>988</v>
      </c>
      <c r="B78" s="207" t="s">
        <v>201</v>
      </c>
      <c r="C78" s="385" t="s">
        <v>989</v>
      </c>
      <c r="D78" s="207" t="s">
        <v>470</v>
      </c>
      <c r="E78" s="207" t="s">
        <v>443</v>
      </c>
      <c r="F78" s="403" t="s">
        <v>990</v>
      </c>
      <c r="G78" s="207" t="s">
        <v>201</v>
      </c>
      <c r="H78" s="403" t="s">
        <v>991</v>
      </c>
      <c r="I78" s="386" t="s">
        <v>253</v>
      </c>
      <c r="J78" s="402" t="s">
        <v>205</v>
      </c>
      <c r="K78" s="385" t="s">
        <v>897</v>
      </c>
      <c r="L78" s="392" t="s">
        <v>448</v>
      </c>
      <c r="M78" s="392"/>
      <c r="N78" s="392"/>
      <c r="O78" s="392"/>
      <c r="P78" s="403" t="s">
        <v>992</v>
      </c>
      <c r="Q78" s="403" t="s">
        <v>993</v>
      </c>
      <c r="R78" s="403" t="s">
        <v>992</v>
      </c>
      <c r="S78" s="403" t="s">
        <v>233</v>
      </c>
      <c r="T78" s="403" t="s">
        <v>994</v>
      </c>
      <c r="U78" s="403" t="s">
        <v>233</v>
      </c>
      <c r="V78" s="403" t="s">
        <v>680</v>
      </c>
      <c r="W78" s="403" t="s">
        <v>233</v>
      </c>
      <c r="X78" s="384">
        <v>0</v>
      </c>
      <c r="Y78" s="384">
        <v>0</v>
      </c>
      <c r="Z78" s="387" t="s">
        <v>215</v>
      </c>
      <c r="AA78" s="403" t="s">
        <v>456</v>
      </c>
      <c r="AB78" s="354" t="s">
        <v>217</v>
      </c>
      <c r="AC78" s="403" t="s">
        <v>661</v>
      </c>
      <c r="AD78" s="403" t="s">
        <v>661</v>
      </c>
      <c r="AE78" s="403" t="s">
        <v>220</v>
      </c>
      <c r="AF78" s="392">
        <v>0</v>
      </c>
      <c r="AG78" s="412">
        <v>64</v>
      </c>
      <c r="AH78" s="412">
        <v>0</v>
      </c>
      <c r="AI78" s="413">
        <v>0</v>
      </c>
      <c r="AJ78" s="390">
        <v>0</v>
      </c>
      <c r="AK78" s="390">
        <v>0</v>
      </c>
      <c r="AL78" s="412">
        <v>0</v>
      </c>
      <c r="AM78" s="414">
        <v>64</v>
      </c>
      <c r="AN78" s="389"/>
      <c r="AO78" s="389"/>
      <c r="AP78" s="413"/>
      <c r="AQ78" s="413"/>
      <c r="AR78" s="391" t="str">
        <f t="shared" si="21"/>
        <v>0</v>
      </c>
      <c r="AS78" s="391">
        <f t="shared" si="22"/>
        <v>1</v>
      </c>
      <c r="AT78" s="391" t="str">
        <f t="shared" si="18"/>
        <v>0</v>
      </c>
      <c r="AU78" s="391" t="str">
        <f t="shared" si="23"/>
        <v>0</v>
      </c>
      <c r="AV78" s="391" t="str">
        <f t="shared" si="24"/>
        <v>0</v>
      </c>
      <c r="AW78" s="364">
        <v>0</v>
      </c>
      <c r="AX78" s="364">
        <v>0</v>
      </c>
      <c r="AY78" s="364">
        <v>0</v>
      </c>
      <c r="AZ78" s="364">
        <v>0</v>
      </c>
      <c r="BA78" s="364">
        <v>0</v>
      </c>
      <c r="BB78" s="364">
        <v>0</v>
      </c>
      <c r="BC78" s="364">
        <v>0</v>
      </c>
      <c r="BD78" s="364">
        <v>0</v>
      </c>
      <c r="BE78" s="364">
        <v>0</v>
      </c>
      <c r="BF78" s="364">
        <v>0</v>
      </c>
      <c r="BG78" s="364">
        <v>0</v>
      </c>
      <c r="BH78" s="364">
        <v>0</v>
      </c>
      <c r="BI78" s="364"/>
      <c r="BJ78" s="364"/>
      <c r="BK78" s="364"/>
      <c r="BL78" s="364"/>
      <c r="BM78" s="364"/>
      <c r="BN78" s="364"/>
      <c r="BO78" s="360"/>
      <c r="BP78" s="364"/>
      <c r="BQ78" s="364"/>
      <c r="BR78" s="364"/>
      <c r="BS78" s="364"/>
      <c r="BT78" s="364"/>
      <c r="BU78" s="392"/>
      <c r="BV78" s="392"/>
      <c r="BW78" s="392"/>
      <c r="BX78" s="392"/>
      <c r="BY78" s="392"/>
      <c r="BZ78" s="392"/>
      <c r="CA78" s="392"/>
      <c r="CB78" s="392"/>
      <c r="CC78" s="392"/>
      <c r="CD78" s="392"/>
      <c r="CE78" s="392"/>
      <c r="CF78" s="392"/>
      <c r="CG78" s="415"/>
      <c r="CH78" s="504">
        <f t="shared" si="20"/>
        <v>0</v>
      </c>
      <c r="CI78" s="394"/>
      <c r="CJ78" s="416">
        <v>0</v>
      </c>
      <c r="CK78" s="416">
        <v>49</v>
      </c>
      <c r="CL78" s="416">
        <v>50</v>
      </c>
      <c r="CM78" s="416">
        <v>51</v>
      </c>
      <c r="CN78" s="416">
        <v>52</v>
      </c>
      <c r="CO78" s="416">
        <v>63</v>
      </c>
      <c r="CP78" s="396"/>
      <c r="CQ78" s="207" t="str">
        <f t="shared" si="16"/>
        <v>OPERATIVO</v>
      </c>
      <c r="CR78" s="397">
        <f t="shared" si="17"/>
        <v>0</v>
      </c>
      <c r="CS78" s="398">
        <f>IFERROR(SUM($BI78:BI78)/SUM($AW78:AW78),0)</f>
        <v>0</v>
      </c>
      <c r="CT78" s="398">
        <f>IFERROR(SUM($BI78:BJ78)/SUM($AW78:AX78),0)</f>
        <v>0</v>
      </c>
      <c r="CU78" s="398">
        <f>IFERROR(SUM($BI78:BK78)/SUM($AW78:AY78),0)</f>
        <v>0</v>
      </c>
      <c r="CV78" s="398">
        <f>IFERROR(SUM($BI78:BL78)/SUM($AW78:AZ78),0)</f>
        <v>0</v>
      </c>
      <c r="CW78" s="398">
        <f>IFERROR(SUM($BI78:BM78)/SUM($AW78:BA78),0)</f>
        <v>0</v>
      </c>
      <c r="CX78" s="398">
        <f>IFERROR(SUM($BI78:BN78)/SUM($AW78:BB78),0)</f>
        <v>0</v>
      </c>
      <c r="CY78" s="398">
        <f>IFERROR(SUM($BI78:BO78)/SUM($AW78:BC78),0)</f>
        <v>0</v>
      </c>
      <c r="CZ78" s="398">
        <f>IFERROR(SUM($BI78:BP78)/SUM($AW78:BD78),0)</f>
        <v>0</v>
      </c>
      <c r="DA78" s="398">
        <f>IFERROR(SUM($BI78:BQ78)/SUM($AW78:BE78),0)</f>
        <v>0</v>
      </c>
      <c r="DB78" s="398">
        <f>IFERROR(SUM($BI78:BR78)/SUM($AW78:BF78),0)</f>
        <v>0</v>
      </c>
      <c r="DC78" s="398">
        <f>IFERROR(SUM($BI78:BS78)/SUM($AW78:BG78),0)</f>
        <v>0</v>
      </c>
      <c r="DD78" s="398">
        <f>IFERROR(SUM($BI78:BT78)/SUM($AW78:BH78),0)</f>
        <v>0</v>
      </c>
      <c r="DE78" s="371" t="str">
        <f t="shared" si="19"/>
        <v>0</v>
      </c>
      <c r="DF78" s="372" t="str">
        <f>IFERROR(SUM($BI78:BJ78)/SUM($AW78:AX78),"0")</f>
        <v>0</v>
      </c>
      <c r="DG78" s="373" t="str">
        <f>IFERROR(SUM($BI78:BK78)/SUM($AW78:AY78),"0")</f>
        <v>0</v>
      </c>
      <c r="DH78" s="373" t="str">
        <f>IFERROR(SUM($BI78:BL78)/SUM($AW78:AZ78),"0")</f>
        <v>0</v>
      </c>
      <c r="DI78" s="373" t="str">
        <f>IFERROR(SUM($BI78:BM78)/SUM($AW78:BA78),"0")</f>
        <v>0</v>
      </c>
      <c r="DJ78" s="373" t="str">
        <f>IFERROR(SUM($BI78:BN78)/SUM($AW78:BB78),"0")</f>
        <v>0</v>
      </c>
      <c r="DK78" s="373" t="str">
        <f>IFERROR(SUM($BI78:BO78)/SUM($AW78:BC78),"0")</f>
        <v>0</v>
      </c>
      <c r="DL78" s="373" t="str">
        <f>IFERROR(SUM($BI78:BP78)/SUM($AW78:BD78),"0")</f>
        <v>0</v>
      </c>
      <c r="DM78" s="373" t="str">
        <f>IFERROR(SUM($BI78:BQ78)/SUM($AW78:BE78),"0")</f>
        <v>0</v>
      </c>
      <c r="DN78" s="373" t="str">
        <f>IFERROR(SUM($BI78:BR78)/SUM($AW78:BF78),"0")</f>
        <v>0</v>
      </c>
      <c r="DO78" s="373" t="str">
        <f>IFERROR(SUM($BI78:BS78)/SUM($AW78:BG78),"0")</f>
        <v>0</v>
      </c>
      <c r="DP78" s="374" t="str">
        <f>IFERROR(SUM($BI78:BT78)/SUM($AW78:BH78),"0")</f>
        <v>0</v>
      </c>
    </row>
    <row r="79" spans="1:120" s="399" customFormat="1" ht="39" customHeight="1" x14ac:dyDescent="0.25">
      <c r="A79" s="384" t="s">
        <v>995</v>
      </c>
      <c r="B79" s="207" t="s">
        <v>264</v>
      </c>
      <c r="C79" s="401" t="s">
        <v>996</v>
      </c>
      <c r="D79" s="207" t="s">
        <v>470</v>
      </c>
      <c r="E79" s="384" t="s">
        <v>443</v>
      </c>
      <c r="F79" s="384" t="s">
        <v>997</v>
      </c>
      <c r="G79" s="207" t="s">
        <v>264</v>
      </c>
      <c r="H79" s="384" t="s">
        <v>998</v>
      </c>
      <c r="I79" s="386" t="s">
        <v>357</v>
      </c>
      <c r="J79" s="354" t="s">
        <v>268</v>
      </c>
      <c r="K79" s="385" t="s">
        <v>897</v>
      </c>
      <c r="L79" s="392" t="s">
        <v>448</v>
      </c>
      <c r="M79" s="385"/>
      <c r="N79" s="385"/>
      <c r="O79" s="385"/>
      <c r="P79" s="384" t="s">
        <v>999</v>
      </c>
      <c r="Q79" s="384" t="s">
        <v>1000</v>
      </c>
      <c r="R79" s="384" t="s">
        <v>1001</v>
      </c>
      <c r="S79" s="384" t="s">
        <v>399</v>
      </c>
      <c r="T79" s="384" t="s">
        <v>1002</v>
      </c>
      <c r="U79" s="384" t="s">
        <v>399</v>
      </c>
      <c r="V79" s="384" t="s">
        <v>1003</v>
      </c>
      <c r="W79" s="384" t="s">
        <v>233</v>
      </c>
      <c r="X79" s="384" t="s">
        <v>233</v>
      </c>
      <c r="Y79" s="384" t="s">
        <v>233</v>
      </c>
      <c r="Z79" s="384" t="s">
        <v>215</v>
      </c>
      <c r="AA79" s="387" t="s">
        <v>456</v>
      </c>
      <c r="AB79" s="354" t="s">
        <v>217</v>
      </c>
      <c r="AC79" s="384" t="s">
        <v>275</v>
      </c>
      <c r="AD79" s="392" t="s">
        <v>276</v>
      </c>
      <c r="AE79" s="384" t="s">
        <v>277</v>
      </c>
      <c r="AF79" s="350">
        <v>0</v>
      </c>
      <c r="AG79" s="389">
        <v>108</v>
      </c>
      <c r="AH79" s="389">
        <v>0</v>
      </c>
      <c r="AI79" s="389">
        <v>0</v>
      </c>
      <c r="AJ79" s="390">
        <v>0</v>
      </c>
      <c r="AK79" s="390">
        <v>0</v>
      </c>
      <c r="AL79" s="350">
        <v>0</v>
      </c>
      <c r="AM79" s="414">
        <v>108</v>
      </c>
      <c r="AN79" s="389"/>
      <c r="AO79" s="389"/>
      <c r="AP79" s="389"/>
      <c r="AQ79" s="389"/>
      <c r="AR79" s="391" t="str">
        <f t="shared" si="21"/>
        <v>0</v>
      </c>
      <c r="AS79" s="391">
        <f t="shared" si="22"/>
        <v>1</v>
      </c>
      <c r="AT79" s="391" t="str">
        <f t="shared" si="18"/>
        <v>0</v>
      </c>
      <c r="AU79" s="391" t="str">
        <f t="shared" si="23"/>
        <v>0</v>
      </c>
      <c r="AV79" s="391" t="str">
        <f t="shared" si="24"/>
        <v>0</v>
      </c>
      <c r="AW79" s="364">
        <v>0</v>
      </c>
      <c r="AX79" s="364">
        <v>0</v>
      </c>
      <c r="AY79" s="364">
        <v>0</v>
      </c>
      <c r="AZ79" s="364">
        <v>0</v>
      </c>
      <c r="BA79" s="364">
        <v>0</v>
      </c>
      <c r="BB79" s="364">
        <v>0</v>
      </c>
      <c r="BC79" s="364">
        <v>0</v>
      </c>
      <c r="BD79" s="364">
        <v>0</v>
      </c>
      <c r="BE79" s="364">
        <v>0</v>
      </c>
      <c r="BF79" s="364">
        <v>0</v>
      </c>
      <c r="BG79" s="364">
        <v>0</v>
      </c>
      <c r="BH79" s="364">
        <v>0</v>
      </c>
      <c r="BI79" s="364"/>
      <c r="BJ79" s="364"/>
      <c r="BK79" s="364"/>
      <c r="BL79" s="364"/>
      <c r="BM79" s="364"/>
      <c r="BN79" s="364"/>
      <c r="BO79" s="360"/>
      <c r="BP79" s="364"/>
      <c r="BQ79" s="364"/>
      <c r="BR79" s="364"/>
      <c r="BS79" s="364"/>
      <c r="BT79" s="364"/>
      <c r="BU79" s="392"/>
      <c r="BV79" s="392"/>
      <c r="BW79" s="392"/>
      <c r="BX79" s="392"/>
      <c r="BY79" s="392"/>
      <c r="BZ79" s="392"/>
      <c r="CA79" s="392"/>
      <c r="CB79" s="392"/>
      <c r="CC79" s="392"/>
      <c r="CD79" s="392"/>
      <c r="CE79" s="392"/>
      <c r="CF79" s="392"/>
      <c r="CG79" s="393"/>
      <c r="CH79" s="504">
        <f t="shared" si="20"/>
        <v>0</v>
      </c>
      <c r="CI79" s="394"/>
      <c r="CJ79" s="384"/>
      <c r="CK79" s="384"/>
      <c r="CL79" s="384"/>
      <c r="CM79" s="384"/>
      <c r="CN79" s="384"/>
      <c r="CO79" s="384"/>
      <c r="CP79" s="396"/>
      <c r="CQ79" s="207" t="str">
        <f t="shared" si="16"/>
        <v>OPERATIVO</v>
      </c>
      <c r="CR79" s="397">
        <f t="shared" si="17"/>
        <v>0</v>
      </c>
      <c r="CS79" s="398">
        <f>IFERROR(SUM($BI79:BI79)/SUM($AW79:AW79),0)</f>
        <v>0</v>
      </c>
      <c r="CT79" s="398">
        <f>IFERROR(SUM($BI79:BJ79)/SUM($AW79:AX79),0)</f>
        <v>0</v>
      </c>
      <c r="CU79" s="398">
        <f>IFERROR(SUM($BI79:BK79)/SUM($AW79:AY79),0)</f>
        <v>0</v>
      </c>
      <c r="CV79" s="398">
        <f>IFERROR(SUM($BI79:BL79)/SUM($AW79:AZ79),0)</f>
        <v>0</v>
      </c>
      <c r="CW79" s="398">
        <f>IFERROR(SUM($BI79:BM79)/SUM($AW79:BA79),0)</f>
        <v>0</v>
      </c>
      <c r="CX79" s="398">
        <f>IFERROR(SUM($BI79:BN79)/SUM($AW79:BB79),0)</f>
        <v>0</v>
      </c>
      <c r="CY79" s="398">
        <f>IFERROR(SUM($BI79:BO79)/SUM($AW79:BC79),0)</f>
        <v>0</v>
      </c>
      <c r="CZ79" s="398">
        <f>IFERROR(SUM($BI79:BP79)/SUM($AW79:BD79),0)</f>
        <v>0</v>
      </c>
      <c r="DA79" s="398">
        <f>IFERROR(SUM($BI79:BQ79)/SUM($AW79:BE79),0)</f>
        <v>0</v>
      </c>
      <c r="DB79" s="398">
        <f>IFERROR(SUM($BI79:BR79)/SUM($AW79:BF79),0)</f>
        <v>0</v>
      </c>
      <c r="DC79" s="398">
        <f>IFERROR(SUM($BI79:BS79)/SUM($AW79:BG79),0)</f>
        <v>0</v>
      </c>
      <c r="DD79" s="398">
        <f>IFERROR(SUM($BI79:BT79)/SUM($AW79:BH79),0)</f>
        <v>0</v>
      </c>
      <c r="DE79" s="405" t="str">
        <f t="shared" si="19"/>
        <v>0</v>
      </c>
      <c r="DF79" s="406" t="str">
        <f>IFERROR(SUM($BI79:BJ79)/SUM($AW79:AX79),"0")</f>
        <v>0</v>
      </c>
      <c r="DG79" s="407" t="str">
        <f>IFERROR(SUM($BI79:BK79)/SUM($AW79:AY79),"0")</f>
        <v>0</v>
      </c>
      <c r="DH79" s="407" t="str">
        <f>IFERROR(SUM($BI79:BL79)/SUM($AW79:AZ79),"0")</f>
        <v>0</v>
      </c>
      <c r="DI79" s="407" t="str">
        <f>IFERROR(SUM($BI79:BM79)/SUM($AW79:BA79),"0")</f>
        <v>0</v>
      </c>
      <c r="DJ79" s="407" t="str">
        <f>IFERROR(SUM($BI79:BN79)/SUM($AW79:BB79),"0")</f>
        <v>0</v>
      </c>
      <c r="DK79" s="407" t="str">
        <f>IFERROR(SUM($BI79:BO79)/SUM($AW79:BC79),"0")</f>
        <v>0</v>
      </c>
      <c r="DL79" s="407" t="str">
        <f>IFERROR(SUM($BI79:BP79)/SUM($AW79:BD79),"0")</f>
        <v>0</v>
      </c>
      <c r="DM79" s="407" t="str">
        <f>IFERROR(SUM($BI79:BQ79)/SUM($AW79:BE79),"0")</f>
        <v>0</v>
      </c>
      <c r="DN79" s="407" t="str">
        <f>IFERROR(SUM($BI79:BR79)/SUM($AW79:BF79),"0")</f>
        <v>0</v>
      </c>
      <c r="DO79" s="407" t="str">
        <f>IFERROR(SUM($BI79:BS79)/SUM($AW79:BG79),"0")</f>
        <v>0</v>
      </c>
      <c r="DP79" s="408" t="str">
        <f>IFERROR(SUM($BI79:BT79)/SUM($AW79:BH79),"0")</f>
        <v>0</v>
      </c>
    </row>
    <row r="80" spans="1:120" s="399" customFormat="1" ht="39" customHeight="1" x14ac:dyDescent="0.25">
      <c r="A80" s="384" t="s">
        <v>1004</v>
      </c>
      <c r="B80" s="207" t="s">
        <v>201</v>
      </c>
      <c r="C80" s="385" t="s">
        <v>1005</v>
      </c>
      <c r="D80" s="207" t="s">
        <v>470</v>
      </c>
      <c r="E80" s="207" t="s">
        <v>443</v>
      </c>
      <c r="F80" s="403" t="s">
        <v>1006</v>
      </c>
      <c r="G80" s="207" t="s">
        <v>201</v>
      </c>
      <c r="H80" s="392" t="s">
        <v>1007</v>
      </c>
      <c r="I80" s="392" t="s">
        <v>253</v>
      </c>
      <c r="J80" s="392" t="s">
        <v>205</v>
      </c>
      <c r="K80" s="401" t="s">
        <v>897</v>
      </c>
      <c r="L80" s="392" t="s">
        <v>448</v>
      </c>
      <c r="M80" s="392" t="s">
        <v>406</v>
      </c>
      <c r="N80" s="392"/>
      <c r="O80" s="392"/>
      <c r="P80" s="403" t="s">
        <v>1008</v>
      </c>
      <c r="Q80" s="403" t="s">
        <v>1009</v>
      </c>
      <c r="R80" s="403" t="s">
        <v>1010</v>
      </c>
      <c r="S80" s="403" t="s">
        <v>1011</v>
      </c>
      <c r="T80" s="403" t="s">
        <v>1012</v>
      </c>
      <c r="U80" s="403" t="s">
        <v>1013</v>
      </c>
      <c r="V80" s="403" t="s">
        <v>963</v>
      </c>
      <c r="W80" s="403" t="s">
        <v>1014</v>
      </c>
      <c r="X80" s="384">
        <v>0</v>
      </c>
      <c r="Y80" s="384">
        <v>0</v>
      </c>
      <c r="Z80" s="387" t="s">
        <v>193</v>
      </c>
      <c r="AA80" s="403" t="s">
        <v>456</v>
      </c>
      <c r="AB80" s="354" t="s">
        <v>217</v>
      </c>
      <c r="AC80" s="403" t="s">
        <v>661</v>
      </c>
      <c r="AD80" s="403" t="s">
        <v>661</v>
      </c>
      <c r="AE80" s="403" t="s">
        <v>220</v>
      </c>
      <c r="AF80" s="350">
        <v>0</v>
      </c>
      <c r="AG80" s="412">
        <v>100</v>
      </c>
      <c r="AH80" s="412">
        <v>0</v>
      </c>
      <c r="AI80" s="412">
        <v>0</v>
      </c>
      <c r="AJ80" s="390">
        <v>0</v>
      </c>
      <c r="AK80" s="390">
        <v>0</v>
      </c>
      <c r="AL80" s="350">
        <v>0</v>
      </c>
      <c r="AM80" s="385">
        <v>100</v>
      </c>
      <c r="AN80" s="389"/>
      <c r="AO80" s="389"/>
      <c r="AP80" s="412"/>
      <c r="AQ80" s="412"/>
      <c r="AR80" s="391" t="str">
        <f t="shared" si="21"/>
        <v>0</v>
      </c>
      <c r="AS80" s="391">
        <f t="shared" si="22"/>
        <v>1</v>
      </c>
      <c r="AT80" s="391" t="str">
        <f t="shared" si="18"/>
        <v>0</v>
      </c>
      <c r="AU80" s="391" t="str">
        <f t="shared" si="23"/>
        <v>0</v>
      </c>
      <c r="AV80" s="391" t="str">
        <f t="shared" si="24"/>
        <v>0</v>
      </c>
      <c r="AW80" s="364">
        <v>0</v>
      </c>
      <c r="AX80" s="364">
        <v>0</v>
      </c>
      <c r="AY80" s="364">
        <v>0</v>
      </c>
      <c r="AZ80" s="364">
        <v>0</v>
      </c>
      <c r="BA80" s="364">
        <v>0</v>
      </c>
      <c r="BB80" s="364">
        <v>0</v>
      </c>
      <c r="BC80" s="364">
        <v>0</v>
      </c>
      <c r="BD80" s="364">
        <v>0</v>
      </c>
      <c r="BE80" s="364">
        <v>0</v>
      </c>
      <c r="BF80" s="364">
        <v>0</v>
      </c>
      <c r="BG80" s="364">
        <v>0</v>
      </c>
      <c r="BH80" s="364">
        <v>0</v>
      </c>
      <c r="BI80" s="364"/>
      <c r="BJ80" s="364"/>
      <c r="BK80" s="364"/>
      <c r="BL80" s="364"/>
      <c r="BM80" s="364"/>
      <c r="BN80" s="364"/>
      <c r="BO80" s="360"/>
      <c r="BP80" s="364"/>
      <c r="BQ80" s="364"/>
      <c r="BR80" s="364"/>
      <c r="BS80" s="364"/>
      <c r="BT80" s="364"/>
      <c r="BU80" s="392"/>
      <c r="BV80" s="392"/>
      <c r="BW80" s="392"/>
      <c r="BX80" s="392"/>
      <c r="BY80" s="392"/>
      <c r="BZ80" s="392"/>
      <c r="CA80" s="392"/>
      <c r="CB80" s="392"/>
      <c r="CC80" s="392"/>
      <c r="CD80" s="392"/>
      <c r="CE80" s="392"/>
      <c r="CF80" s="392"/>
      <c r="CG80" s="415"/>
      <c r="CH80" s="504">
        <f t="shared" si="20"/>
        <v>0</v>
      </c>
      <c r="CI80" s="394"/>
      <c r="CJ80" s="416">
        <v>0</v>
      </c>
      <c r="CK80" s="416">
        <v>79</v>
      </c>
      <c r="CL80" s="416">
        <v>80</v>
      </c>
      <c r="CM80" s="416">
        <v>94</v>
      </c>
      <c r="CN80" s="416">
        <v>95</v>
      </c>
      <c r="CO80" s="416">
        <v>100</v>
      </c>
      <c r="CP80" s="396"/>
      <c r="CQ80" s="207" t="str">
        <f t="shared" si="16"/>
        <v>OPERATIVO</v>
      </c>
      <c r="CR80" s="397">
        <f t="shared" si="17"/>
        <v>0</v>
      </c>
      <c r="CS80" s="398">
        <f>IFERROR(SUM($BI80:BI80)/SUM($AW80:AW80),0)</f>
        <v>0</v>
      </c>
      <c r="CT80" s="398">
        <f>IFERROR(SUM($BI80:BJ80)/SUM($AW80:AX80),0)</f>
        <v>0</v>
      </c>
      <c r="CU80" s="398">
        <f>IFERROR(SUM($BI80:BK80)/SUM($AW80:AY80),0)</f>
        <v>0</v>
      </c>
      <c r="CV80" s="398">
        <f>IFERROR(SUM($BI80:BL80)/SUM($AW80:AZ80),0)</f>
        <v>0</v>
      </c>
      <c r="CW80" s="398">
        <f>IFERROR(SUM($BI80:BM80)/SUM($AW80:BA80),0)</f>
        <v>0</v>
      </c>
      <c r="CX80" s="398">
        <f>IFERROR(SUM($BI80:BN80)/SUM($AW80:BB80),0)</f>
        <v>0</v>
      </c>
      <c r="CY80" s="398">
        <f>IFERROR(SUM($BI80:BO80)/SUM($AW80:BC80),0)</f>
        <v>0</v>
      </c>
      <c r="CZ80" s="398">
        <f>IFERROR(SUM($BI80:BP80)/SUM($AW80:BD80),0)</f>
        <v>0</v>
      </c>
      <c r="DA80" s="398">
        <f>IFERROR(SUM($BI80:BQ80)/SUM($AW80:BE80),0)</f>
        <v>0</v>
      </c>
      <c r="DB80" s="398">
        <f>IFERROR(SUM($BI80:BR80)/SUM($AW80:BF80),0)</f>
        <v>0</v>
      </c>
      <c r="DC80" s="398">
        <f>IFERROR(SUM($BI80:BS80)/SUM($AW80:BG80),0)</f>
        <v>0</v>
      </c>
      <c r="DD80" s="398">
        <f>IFERROR(SUM($BI80:BT80)/SUM($AW80:BH80),0)</f>
        <v>0</v>
      </c>
      <c r="DE80" s="371" t="str">
        <f t="shared" si="19"/>
        <v>0</v>
      </c>
      <c r="DF80" s="372" t="str">
        <f>IFERROR(SUM($BI80:BJ80)/SUM($AW80:AX80),"0")</f>
        <v>0</v>
      </c>
      <c r="DG80" s="373" t="str">
        <f>IFERROR(SUM($BI80:BK80)/SUM($AW80:AY80),"0")</f>
        <v>0</v>
      </c>
      <c r="DH80" s="373" t="str">
        <f>IFERROR(SUM($BI80:BL80)/SUM($AW80:AZ80),"0")</f>
        <v>0</v>
      </c>
      <c r="DI80" s="373" t="str">
        <f>IFERROR(SUM($BI80:BM80)/SUM($AW80:BA80),"0")</f>
        <v>0</v>
      </c>
      <c r="DJ80" s="373" t="str">
        <f>IFERROR(SUM($BI80:BN80)/SUM($AW80:BB80),"0")</f>
        <v>0</v>
      </c>
      <c r="DK80" s="373" t="str">
        <f>IFERROR(SUM($BI80:BO80)/SUM($AW80:BC80),"0")</f>
        <v>0</v>
      </c>
      <c r="DL80" s="373" t="str">
        <f>IFERROR(SUM($BI80:BP80)/SUM($AW80:BD80),"0")</f>
        <v>0</v>
      </c>
      <c r="DM80" s="373" t="str">
        <f>IFERROR(SUM($BI80:BQ80)/SUM($AW80:BE80),"0")</f>
        <v>0</v>
      </c>
      <c r="DN80" s="373" t="str">
        <f>IFERROR(SUM($BI80:BR80)/SUM($AW80:BF80),"0")</f>
        <v>0</v>
      </c>
      <c r="DO80" s="373" t="str">
        <f>IFERROR(SUM($BI80:BS80)/SUM($AW80:BG80),"0")</f>
        <v>0</v>
      </c>
      <c r="DP80" s="374" t="str">
        <f>IFERROR(SUM($BI80:BT80)/SUM($AW80:BH80),"0")</f>
        <v>0</v>
      </c>
    </row>
    <row r="81" spans="1:120" s="399" customFormat="1" ht="39" customHeight="1" x14ac:dyDescent="0.25">
      <c r="A81" s="384" t="s">
        <v>1015</v>
      </c>
      <c r="B81" s="207" t="s">
        <v>703</v>
      </c>
      <c r="C81" s="385" t="s">
        <v>1016</v>
      </c>
      <c r="D81" s="207" t="s">
        <v>470</v>
      </c>
      <c r="E81" s="421" t="s">
        <v>443</v>
      </c>
      <c r="F81" s="403" t="s">
        <v>1017</v>
      </c>
      <c r="G81" s="207" t="s">
        <v>703</v>
      </c>
      <c r="H81" s="403" t="s">
        <v>1018</v>
      </c>
      <c r="I81" s="386" t="s">
        <v>357</v>
      </c>
      <c r="J81" s="384" t="s">
        <v>754</v>
      </c>
      <c r="K81" s="401" t="s">
        <v>897</v>
      </c>
      <c r="L81" s="392" t="s">
        <v>448</v>
      </c>
      <c r="M81" s="392" t="s">
        <v>406</v>
      </c>
      <c r="N81" s="392"/>
      <c r="O81" s="392"/>
      <c r="P81" s="403" t="s">
        <v>1019</v>
      </c>
      <c r="Q81" s="403" t="s">
        <v>1020</v>
      </c>
      <c r="R81" s="403" t="s">
        <v>1021</v>
      </c>
      <c r="S81" s="403" t="s">
        <v>1022</v>
      </c>
      <c r="T81" s="403" t="s">
        <v>1023</v>
      </c>
      <c r="U81" s="403" t="s">
        <v>1024</v>
      </c>
      <c r="V81" s="403" t="s">
        <v>1025</v>
      </c>
      <c r="W81" s="403" t="s">
        <v>1025</v>
      </c>
      <c r="X81" s="422" t="s">
        <v>399</v>
      </c>
      <c r="Y81" s="403" t="s">
        <v>399</v>
      </c>
      <c r="Z81" s="387" t="s">
        <v>193</v>
      </c>
      <c r="AA81" s="403" t="s">
        <v>456</v>
      </c>
      <c r="AB81" s="354" t="s">
        <v>217</v>
      </c>
      <c r="AC81" s="392" t="s">
        <v>714</v>
      </c>
      <c r="AD81" s="392" t="s">
        <v>715</v>
      </c>
      <c r="AE81" s="403" t="s">
        <v>716</v>
      </c>
      <c r="AF81" s="350">
        <v>0</v>
      </c>
      <c r="AG81" s="390">
        <v>100</v>
      </c>
      <c r="AH81" s="390">
        <v>0</v>
      </c>
      <c r="AI81" s="390">
        <v>0</v>
      </c>
      <c r="AJ81" s="390">
        <v>0</v>
      </c>
      <c r="AK81" s="390">
        <v>0</v>
      </c>
      <c r="AL81" s="350">
        <v>0</v>
      </c>
      <c r="AM81" s="385">
        <v>100</v>
      </c>
      <c r="AN81" s="389"/>
      <c r="AO81" s="389"/>
      <c r="AP81" s="390"/>
      <c r="AQ81" s="390"/>
      <c r="AR81" s="391" t="str">
        <f t="shared" si="21"/>
        <v>0</v>
      </c>
      <c r="AS81" s="391">
        <f t="shared" si="22"/>
        <v>1</v>
      </c>
      <c r="AT81" s="391" t="str">
        <f t="shared" si="18"/>
        <v>0</v>
      </c>
      <c r="AU81" s="391" t="str">
        <f t="shared" si="23"/>
        <v>0</v>
      </c>
      <c r="AV81" s="391" t="str">
        <f t="shared" si="24"/>
        <v>0</v>
      </c>
      <c r="AW81" s="364">
        <v>0</v>
      </c>
      <c r="AX81" s="364">
        <v>0</v>
      </c>
      <c r="AY81" s="364">
        <v>0</v>
      </c>
      <c r="AZ81" s="364">
        <v>0</v>
      </c>
      <c r="BA81" s="364">
        <v>0</v>
      </c>
      <c r="BB81" s="364">
        <v>0</v>
      </c>
      <c r="BC81" s="364">
        <v>0</v>
      </c>
      <c r="BD81" s="364">
        <v>0</v>
      </c>
      <c r="BE81" s="364">
        <v>0</v>
      </c>
      <c r="BF81" s="364">
        <v>0</v>
      </c>
      <c r="BG81" s="364">
        <v>0</v>
      </c>
      <c r="BH81" s="364">
        <v>0</v>
      </c>
      <c r="BI81" s="364"/>
      <c r="BJ81" s="364"/>
      <c r="BK81" s="364"/>
      <c r="BL81" s="364"/>
      <c r="BM81" s="364"/>
      <c r="BN81" s="364"/>
      <c r="BO81" s="360"/>
      <c r="BP81" s="364"/>
      <c r="BQ81" s="364"/>
      <c r="BR81" s="364"/>
      <c r="BS81" s="364"/>
      <c r="BT81" s="364"/>
      <c r="BU81" s="392"/>
      <c r="BV81" s="392"/>
      <c r="BW81" s="392"/>
      <c r="BX81" s="392"/>
      <c r="BY81" s="392"/>
      <c r="BZ81" s="392"/>
      <c r="CA81" s="392"/>
      <c r="CB81" s="392"/>
      <c r="CC81" s="392"/>
      <c r="CD81" s="392"/>
      <c r="CE81" s="392"/>
      <c r="CF81" s="392"/>
      <c r="CG81" s="423"/>
      <c r="CH81" s="504">
        <f t="shared" si="20"/>
        <v>0</v>
      </c>
      <c r="CI81" s="394"/>
      <c r="CJ81" s="424">
        <v>0</v>
      </c>
      <c r="CK81" s="424">
        <v>0.49</v>
      </c>
      <c r="CL81" s="424">
        <v>0.5</v>
      </c>
      <c r="CM81" s="424">
        <v>0.74</v>
      </c>
      <c r="CN81" s="424">
        <v>0.75</v>
      </c>
      <c r="CO81" s="424">
        <v>1</v>
      </c>
      <c r="CP81" s="411"/>
      <c r="CQ81" s="207" t="str">
        <f t="shared" si="16"/>
        <v>OPERATIVO</v>
      </c>
      <c r="CR81" s="397">
        <f t="shared" si="17"/>
        <v>0</v>
      </c>
      <c r="CS81" s="398">
        <f>IFERROR(SUM($BI81:BI81)/SUM($AW81:AW81),0)</f>
        <v>0</v>
      </c>
      <c r="CT81" s="398">
        <f>IFERROR(SUM($BI81:BJ81)/SUM($AW81:AX81),0)</f>
        <v>0</v>
      </c>
      <c r="CU81" s="398">
        <f>IFERROR(SUM($BI81:BK81)/SUM($AW81:AY81),0)</f>
        <v>0</v>
      </c>
      <c r="CV81" s="398">
        <f>IFERROR(SUM($BI81:BL81)/SUM($AW81:AZ81),0)</f>
        <v>0</v>
      </c>
      <c r="CW81" s="398">
        <f>IFERROR(SUM($BI81:BM81)/SUM($AW81:BA81),0)</f>
        <v>0</v>
      </c>
      <c r="CX81" s="398">
        <f>IFERROR(SUM($BI81:BN81)/SUM($AW81:BB81),0)</f>
        <v>0</v>
      </c>
      <c r="CY81" s="398">
        <f>IFERROR(SUM($BI81:BO81)/SUM($AW81:BC81),0)</f>
        <v>0</v>
      </c>
      <c r="CZ81" s="398">
        <f>IFERROR(SUM($BI81:BP81)/SUM($AW81:BD81),0)</f>
        <v>0</v>
      </c>
      <c r="DA81" s="398">
        <f>IFERROR(SUM($BI81:BQ81)/SUM($AW81:BE81),0)</f>
        <v>0</v>
      </c>
      <c r="DB81" s="398">
        <f>IFERROR(SUM($BI81:BR81)/SUM($AW81:BF81),0)</f>
        <v>0</v>
      </c>
      <c r="DC81" s="398">
        <f>IFERROR(SUM($BI81:BS81)/SUM($AW81:BG81),0)</f>
        <v>0</v>
      </c>
      <c r="DD81" s="398">
        <f>IFERROR(SUM($BI81:BT81)/SUM($AW81:BH81),0)</f>
        <v>0</v>
      </c>
      <c r="DE81" s="405" t="str">
        <f t="shared" si="19"/>
        <v>0</v>
      </c>
      <c r="DF81" s="406" t="str">
        <f>IFERROR(SUM($BI81:BJ81)/SUM($AW81:AX81),"0")</f>
        <v>0</v>
      </c>
      <c r="DG81" s="407" t="str">
        <f>IFERROR(SUM($BI81:BK81)/SUM($AW81:AY81),"0")</f>
        <v>0</v>
      </c>
      <c r="DH81" s="407" t="str">
        <f>IFERROR(SUM($BI81:BL81)/SUM($AW81:AZ81),"0")</f>
        <v>0</v>
      </c>
      <c r="DI81" s="407" t="str">
        <f>IFERROR(SUM($BI81:BM81)/SUM($AW81:BA81),"0")</f>
        <v>0</v>
      </c>
      <c r="DJ81" s="407" t="str">
        <f>IFERROR(SUM($BI81:BN81)/SUM($AW81:BB81),"0")</f>
        <v>0</v>
      </c>
      <c r="DK81" s="407" t="str">
        <f>IFERROR(SUM($BI81:BO81)/SUM($AW81:BC81),"0")</f>
        <v>0</v>
      </c>
      <c r="DL81" s="407" t="str">
        <f>IFERROR(SUM($BI81:BP81)/SUM($AW81:BD81),"0")</f>
        <v>0</v>
      </c>
      <c r="DM81" s="407" t="str">
        <f>IFERROR(SUM($BI81:BQ81)/SUM($AW81:BE81),"0")</f>
        <v>0</v>
      </c>
      <c r="DN81" s="407" t="str">
        <f>IFERROR(SUM($BI81:BR81)/SUM($AW81:BF81),"0")</f>
        <v>0</v>
      </c>
      <c r="DO81" s="407" t="str">
        <f>IFERROR(SUM($BI81:BS81)/SUM($AW81:BG81),"0")</f>
        <v>0</v>
      </c>
      <c r="DP81" s="408" t="str">
        <f>IFERROR(SUM($BI81:BT81)/SUM($AW81:BH81),"0")</f>
        <v>0</v>
      </c>
    </row>
    <row r="82" spans="1:120" s="399" customFormat="1" ht="39" customHeight="1" x14ac:dyDescent="0.25">
      <c r="A82" s="384" t="s">
        <v>1026</v>
      </c>
      <c r="B82" s="207" t="s">
        <v>703</v>
      </c>
      <c r="C82" s="385" t="s">
        <v>1027</v>
      </c>
      <c r="D82" s="207" t="s">
        <v>319</v>
      </c>
      <c r="E82" s="421" t="s">
        <v>443</v>
      </c>
      <c r="F82" s="403" t="s">
        <v>1028</v>
      </c>
      <c r="G82" s="207" t="s">
        <v>703</v>
      </c>
      <c r="H82" s="403" t="s">
        <v>1029</v>
      </c>
      <c r="I82" s="425" t="s">
        <v>357</v>
      </c>
      <c r="J82" s="354" t="s">
        <v>765</v>
      </c>
      <c r="K82" s="401" t="s">
        <v>897</v>
      </c>
      <c r="L82" s="392" t="s">
        <v>448</v>
      </c>
      <c r="M82" s="392" t="s">
        <v>406</v>
      </c>
      <c r="N82" s="392"/>
      <c r="O82" s="392"/>
      <c r="P82" s="403" t="s">
        <v>1030</v>
      </c>
      <c r="Q82" s="403" t="s">
        <v>208</v>
      </c>
      <c r="R82" s="403" t="s">
        <v>1031</v>
      </c>
      <c r="S82" s="384" t="s">
        <v>1032</v>
      </c>
      <c r="T82" s="403" t="s">
        <v>1033</v>
      </c>
      <c r="U82" s="403" t="s">
        <v>1034</v>
      </c>
      <c r="V82" s="403" t="s">
        <v>1035</v>
      </c>
      <c r="W82" s="403" t="s">
        <v>1035</v>
      </c>
      <c r="X82" s="426" t="s">
        <v>399</v>
      </c>
      <c r="Y82" s="403" t="s">
        <v>399</v>
      </c>
      <c r="Z82" s="387" t="s">
        <v>193</v>
      </c>
      <c r="AA82" s="403" t="s">
        <v>456</v>
      </c>
      <c r="AB82" s="354" t="s">
        <v>217</v>
      </c>
      <c r="AC82" s="392" t="s">
        <v>714</v>
      </c>
      <c r="AD82" s="392" t="s">
        <v>715</v>
      </c>
      <c r="AE82" s="403" t="s">
        <v>716</v>
      </c>
      <c r="AF82" s="350">
        <v>0</v>
      </c>
      <c r="AG82" s="390">
        <v>100</v>
      </c>
      <c r="AH82" s="390">
        <v>0</v>
      </c>
      <c r="AI82" s="390">
        <v>0</v>
      </c>
      <c r="AJ82" s="390">
        <v>0</v>
      </c>
      <c r="AK82" s="390">
        <v>0</v>
      </c>
      <c r="AL82" s="350">
        <v>0</v>
      </c>
      <c r="AM82" s="385">
        <v>100</v>
      </c>
      <c r="AN82" s="389"/>
      <c r="AO82" s="389"/>
      <c r="AP82" s="390"/>
      <c r="AQ82" s="390"/>
      <c r="AR82" s="391" t="str">
        <f t="shared" si="21"/>
        <v>0</v>
      </c>
      <c r="AS82" s="391">
        <f t="shared" si="22"/>
        <v>1</v>
      </c>
      <c r="AT82" s="391" t="str">
        <f t="shared" si="18"/>
        <v>0</v>
      </c>
      <c r="AU82" s="391" t="str">
        <f t="shared" si="23"/>
        <v>0</v>
      </c>
      <c r="AV82" s="391" t="str">
        <f t="shared" si="24"/>
        <v>0</v>
      </c>
      <c r="AW82" s="364">
        <v>0</v>
      </c>
      <c r="AX82" s="364">
        <v>0</v>
      </c>
      <c r="AY82" s="364">
        <v>0</v>
      </c>
      <c r="AZ82" s="364">
        <v>0</v>
      </c>
      <c r="BA82" s="364">
        <v>0</v>
      </c>
      <c r="BB82" s="364">
        <v>0</v>
      </c>
      <c r="BC82" s="364">
        <v>0</v>
      </c>
      <c r="BD82" s="364">
        <v>0</v>
      </c>
      <c r="BE82" s="364">
        <v>0</v>
      </c>
      <c r="BF82" s="364">
        <v>0</v>
      </c>
      <c r="BG82" s="364">
        <v>0</v>
      </c>
      <c r="BH82" s="364">
        <v>0</v>
      </c>
      <c r="BI82" s="364"/>
      <c r="BJ82" s="364"/>
      <c r="BK82" s="364"/>
      <c r="BL82" s="364"/>
      <c r="BM82" s="364"/>
      <c r="BN82" s="364"/>
      <c r="BO82" s="360"/>
      <c r="BP82" s="364"/>
      <c r="BQ82" s="364"/>
      <c r="BR82" s="364"/>
      <c r="BS82" s="364"/>
      <c r="BT82" s="364"/>
      <c r="BU82" s="392"/>
      <c r="BV82" s="392"/>
      <c r="BW82" s="392"/>
      <c r="BX82" s="392"/>
      <c r="BY82" s="392"/>
      <c r="BZ82" s="392"/>
      <c r="CA82" s="392"/>
      <c r="CB82" s="392"/>
      <c r="CC82" s="392"/>
      <c r="CD82" s="392"/>
      <c r="CE82" s="392"/>
      <c r="CF82" s="392"/>
      <c r="CG82" s="415"/>
      <c r="CH82" s="504">
        <f t="shared" si="20"/>
        <v>0</v>
      </c>
      <c r="CI82" s="394"/>
      <c r="CJ82" s="424">
        <v>0</v>
      </c>
      <c r="CK82" s="424">
        <v>0.49</v>
      </c>
      <c r="CL82" s="424">
        <v>0.5</v>
      </c>
      <c r="CM82" s="424">
        <v>0.74</v>
      </c>
      <c r="CN82" s="424">
        <v>0.75</v>
      </c>
      <c r="CO82" s="424">
        <v>1</v>
      </c>
      <c r="CP82" s="411"/>
      <c r="CQ82" s="207" t="str">
        <f t="shared" si="16"/>
        <v>TÁCTICO</v>
      </c>
      <c r="CR82" s="397">
        <f t="shared" si="17"/>
        <v>0</v>
      </c>
      <c r="CS82" s="398">
        <f>IFERROR(SUM($BI82:BI82)/SUM($AW82:AW82),0)</f>
        <v>0</v>
      </c>
      <c r="CT82" s="398">
        <f>IFERROR(SUM($BI82:BJ82)/SUM($AW82:AX82),0)</f>
        <v>0</v>
      </c>
      <c r="CU82" s="398">
        <f>IFERROR(SUM($BI82:BK82)/SUM($AW82:AY82),0)</f>
        <v>0</v>
      </c>
      <c r="CV82" s="398">
        <f>IFERROR(SUM($BI82:BL82)/SUM($AW82:AZ82),0)</f>
        <v>0</v>
      </c>
      <c r="CW82" s="398">
        <f>IFERROR(SUM($BI82:BM82)/SUM($AW82:BA82),0)</f>
        <v>0</v>
      </c>
      <c r="CX82" s="398">
        <f>IFERROR(SUM($BI82:BN82)/SUM($AW82:BB82),0)</f>
        <v>0</v>
      </c>
      <c r="CY82" s="398">
        <f>IFERROR(SUM($BI82:BO82)/SUM($AW82:BC82),0)</f>
        <v>0</v>
      </c>
      <c r="CZ82" s="398">
        <f>IFERROR(SUM($BI82:BP82)/SUM($AW82:BD82),0)</f>
        <v>0</v>
      </c>
      <c r="DA82" s="398">
        <f>IFERROR(SUM($BI82:BQ82)/SUM($AW82:BE82),0)</f>
        <v>0</v>
      </c>
      <c r="DB82" s="398">
        <f>IFERROR(SUM($BI82:BR82)/SUM($AW82:BF82),0)</f>
        <v>0</v>
      </c>
      <c r="DC82" s="398">
        <f>IFERROR(SUM($BI82:BS82)/SUM($AW82:BG82),0)</f>
        <v>0</v>
      </c>
      <c r="DD82" s="398">
        <f>IFERROR(SUM($BI82:BT82)/SUM($AW82:BH82),0)</f>
        <v>0</v>
      </c>
      <c r="DE82" s="371" t="str">
        <f t="shared" si="19"/>
        <v>0</v>
      </c>
      <c r="DF82" s="372" t="str">
        <f>IFERROR(SUM($BI82:BJ82)/SUM($AW82:AX82),"0")</f>
        <v>0</v>
      </c>
      <c r="DG82" s="373" t="str">
        <f>IFERROR(SUM($BI82:BK82)/SUM($AW82:AY82),"0")</f>
        <v>0</v>
      </c>
      <c r="DH82" s="373" t="str">
        <f>IFERROR(SUM($BI82:BL82)/SUM($AW82:AZ82),"0")</f>
        <v>0</v>
      </c>
      <c r="DI82" s="373" t="str">
        <f>IFERROR(SUM($BI82:BM82)/SUM($AW82:BA82),"0")</f>
        <v>0</v>
      </c>
      <c r="DJ82" s="373" t="str">
        <f>IFERROR(SUM($BI82:BN82)/SUM($AW82:BB82),"0")</f>
        <v>0</v>
      </c>
      <c r="DK82" s="373" t="str">
        <f>IFERROR(SUM($BI82:BO82)/SUM($AW82:BC82),"0")</f>
        <v>0</v>
      </c>
      <c r="DL82" s="373" t="str">
        <f>IFERROR(SUM($BI82:BP82)/SUM($AW82:BD82),"0")</f>
        <v>0</v>
      </c>
      <c r="DM82" s="373" t="str">
        <f>IFERROR(SUM($BI82:BQ82)/SUM($AW82:BE82),"0")</f>
        <v>0</v>
      </c>
      <c r="DN82" s="373" t="str">
        <f>IFERROR(SUM($BI82:BR82)/SUM($AW82:BF82),"0")</f>
        <v>0</v>
      </c>
      <c r="DO82" s="373" t="str">
        <f>IFERROR(SUM($BI82:BS82)/SUM($AW82:BG82),"0")</f>
        <v>0</v>
      </c>
      <c r="DP82" s="374" t="str">
        <f>IFERROR(SUM($BI82:BT82)/SUM($AW82:BH82),"0")</f>
        <v>0</v>
      </c>
    </row>
    <row r="83" spans="1:120" s="399" customFormat="1" ht="39" customHeight="1" x14ac:dyDescent="0.25">
      <c r="A83" s="384" t="s">
        <v>1036</v>
      </c>
      <c r="B83" s="207" t="s">
        <v>703</v>
      </c>
      <c r="C83" s="385" t="s">
        <v>1037</v>
      </c>
      <c r="D83" s="207" t="s">
        <v>319</v>
      </c>
      <c r="E83" s="207" t="s">
        <v>443</v>
      </c>
      <c r="F83" s="403" t="s">
        <v>1038</v>
      </c>
      <c r="G83" s="207" t="s">
        <v>703</v>
      </c>
      <c r="H83" s="403" t="s">
        <v>1039</v>
      </c>
      <c r="I83" s="402" t="s">
        <v>357</v>
      </c>
      <c r="J83" s="354" t="s">
        <v>765</v>
      </c>
      <c r="K83" s="401" t="s">
        <v>897</v>
      </c>
      <c r="L83" s="392" t="s">
        <v>448</v>
      </c>
      <c r="M83" s="392" t="s">
        <v>406</v>
      </c>
      <c r="N83" s="392"/>
      <c r="O83" s="392"/>
      <c r="P83" s="403" t="s">
        <v>1040</v>
      </c>
      <c r="Q83" s="403" t="s">
        <v>208</v>
      </c>
      <c r="R83" s="403" t="s">
        <v>1041</v>
      </c>
      <c r="S83" s="403" t="s">
        <v>1042</v>
      </c>
      <c r="T83" s="403" t="s">
        <v>1043</v>
      </c>
      <c r="U83" s="403" t="s">
        <v>1044</v>
      </c>
      <c r="V83" s="403" t="s">
        <v>1045</v>
      </c>
      <c r="W83" s="403" t="s">
        <v>1045</v>
      </c>
      <c r="X83" s="422" t="s">
        <v>399</v>
      </c>
      <c r="Y83" s="403" t="s">
        <v>399</v>
      </c>
      <c r="Z83" s="387" t="s">
        <v>329</v>
      </c>
      <c r="AA83" s="403" t="s">
        <v>194</v>
      </c>
      <c r="AB83" s="354" t="s">
        <v>217</v>
      </c>
      <c r="AC83" s="392" t="s">
        <v>714</v>
      </c>
      <c r="AD83" s="392" t="s">
        <v>715</v>
      </c>
      <c r="AE83" s="403" t="s">
        <v>716</v>
      </c>
      <c r="AF83" s="350">
        <v>0</v>
      </c>
      <c r="AG83" s="413">
        <v>100</v>
      </c>
      <c r="AH83" s="413">
        <v>0</v>
      </c>
      <c r="AI83" s="413">
        <v>0</v>
      </c>
      <c r="AJ83" s="390">
        <v>0</v>
      </c>
      <c r="AK83" s="390">
        <v>0</v>
      </c>
      <c r="AL83" s="350">
        <v>0</v>
      </c>
      <c r="AM83" s="385">
        <v>100</v>
      </c>
      <c r="AN83" s="389"/>
      <c r="AO83" s="389"/>
      <c r="AP83" s="413"/>
      <c r="AQ83" s="413"/>
      <c r="AR83" s="391" t="str">
        <f t="shared" si="21"/>
        <v>0</v>
      </c>
      <c r="AS83" s="391">
        <f t="shared" si="22"/>
        <v>1</v>
      </c>
      <c r="AT83" s="391" t="str">
        <f t="shared" si="18"/>
        <v>0</v>
      </c>
      <c r="AU83" s="391" t="str">
        <f t="shared" si="23"/>
        <v>0</v>
      </c>
      <c r="AV83" s="391" t="str">
        <f t="shared" si="24"/>
        <v>0</v>
      </c>
      <c r="AW83" s="364">
        <v>0</v>
      </c>
      <c r="AX83" s="364">
        <v>0</v>
      </c>
      <c r="AY83" s="364">
        <v>0</v>
      </c>
      <c r="AZ83" s="364">
        <v>0</v>
      </c>
      <c r="BA83" s="364">
        <v>0</v>
      </c>
      <c r="BB83" s="364">
        <v>0</v>
      </c>
      <c r="BC83" s="364">
        <v>0</v>
      </c>
      <c r="BD83" s="364">
        <v>0</v>
      </c>
      <c r="BE83" s="364">
        <v>0</v>
      </c>
      <c r="BF83" s="364">
        <v>0</v>
      </c>
      <c r="BG83" s="364">
        <v>0</v>
      </c>
      <c r="BH83" s="364">
        <v>0</v>
      </c>
      <c r="BI83" s="364"/>
      <c r="BJ83" s="364"/>
      <c r="BK83" s="364"/>
      <c r="BL83" s="364"/>
      <c r="BM83" s="364"/>
      <c r="BN83" s="364"/>
      <c r="BO83" s="360"/>
      <c r="BP83" s="364"/>
      <c r="BQ83" s="364"/>
      <c r="BR83" s="364"/>
      <c r="BS83" s="364"/>
      <c r="BT83" s="364"/>
      <c r="BU83" s="392"/>
      <c r="BV83" s="392"/>
      <c r="BW83" s="392"/>
      <c r="BX83" s="392"/>
      <c r="BY83" s="392"/>
      <c r="BZ83" s="392"/>
      <c r="CA83" s="392"/>
      <c r="CB83" s="392"/>
      <c r="CC83" s="392"/>
      <c r="CD83" s="392"/>
      <c r="CE83" s="392"/>
      <c r="CF83" s="392"/>
      <c r="CG83" s="415"/>
      <c r="CH83" s="504">
        <f t="shared" si="20"/>
        <v>0</v>
      </c>
      <c r="CI83" s="394"/>
      <c r="CJ83" s="424">
        <v>0</v>
      </c>
      <c r="CK83" s="424">
        <v>0.39</v>
      </c>
      <c r="CL83" s="424">
        <v>0.4</v>
      </c>
      <c r="CM83" s="424">
        <v>0.49</v>
      </c>
      <c r="CN83" s="424">
        <v>0.5</v>
      </c>
      <c r="CO83" s="424">
        <v>0.6</v>
      </c>
      <c r="CP83" s="411"/>
      <c r="CQ83" s="207" t="str">
        <f t="shared" si="16"/>
        <v>TÁCTICO</v>
      </c>
      <c r="CR83" s="397">
        <f t="shared" si="17"/>
        <v>0</v>
      </c>
      <c r="CS83" s="398">
        <f>IFERROR(SUM($BI83:BI83)/SUM($AW83:AW83),0)</f>
        <v>0</v>
      </c>
      <c r="CT83" s="398">
        <f>IFERROR(SUM($BI83:BJ83)/SUM($AW83:AX83),0)</f>
        <v>0</v>
      </c>
      <c r="CU83" s="398">
        <f>IFERROR(SUM($BI83:BK83)/SUM($AW83:AY83),0)</f>
        <v>0</v>
      </c>
      <c r="CV83" s="398">
        <f>IFERROR(SUM($BI83:BL83)/SUM($AW83:AZ83),0)</f>
        <v>0</v>
      </c>
      <c r="CW83" s="398">
        <f>IFERROR(SUM($BI83:BM83)/SUM($AW83:BA83),0)</f>
        <v>0</v>
      </c>
      <c r="CX83" s="398">
        <f>IFERROR(SUM($BI83:BN83)/SUM($AW83:BB83),0)</f>
        <v>0</v>
      </c>
      <c r="CY83" s="398">
        <f>IFERROR(SUM($BI83:BO83)/SUM($AW83:BC83),0)</f>
        <v>0</v>
      </c>
      <c r="CZ83" s="398">
        <f>IFERROR(SUM($BI83:BP83)/SUM($AW83:BD83),0)</f>
        <v>0</v>
      </c>
      <c r="DA83" s="398">
        <f>IFERROR(SUM($BI83:BQ83)/SUM($AW83:BE83),0)</f>
        <v>0</v>
      </c>
      <c r="DB83" s="398">
        <f>IFERROR(SUM($BI83:BR83)/SUM($AW83:BF83),0)</f>
        <v>0</v>
      </c>
      <c r="DC83" s="398">
        <f>IFERROR(SUM($BI83:BS83)/SUM($AW83:BG83),0)</f>
        <v>0</v>
      </c>
      <c r="DD83" s="398">
        <f>IFERROR(SUM($BI83:BT83)/SUM($AW83:BH83),0)</f>
        <v>0</v>
      </c>
      <c r="DE83" s="405" t="str">
        <f t="shared" si="19"/>
        <v>0</v>
      </c>
      <c r="DF83" s="406" t="str">
        <f>IFERROR(SUM($BI83:BJ83)/SUM($AW83:AX83),"0")</f>
        <v>0</v>
      </c>
      <c r="DG83" s="407" t="str">
        <f>IFERROR(SUM($BI83:BK83)/SUM($AW83:AY83),"0")</f>
        <v>0</v>
      </c>
      <c r="DH83" s="407" t="str">
        <f>IFERROR(SUM($BI83:BL83)/SUM($AW83:AZ83),"0")</f>
        <v>0</v>
      </c>
      <c r="DI83" s="407" t="str">
        <f>IFERROR(SUM($BI83:BM83)/SUM($AW83:BA83),"0")</f>
        <v>0</v>
      </c>
      <c r="DJ83" s="407" t="str">
        <f>IFERROR(SUM($BI83:BN83)/SUM($AW83:BB83),"0")</f>
        <v>0</v>
      </c>
      <c r="DK83" s="407" t="str">
        <f>IFERROR(SUM($BI83:BO83)/SUM($AW83:BC83),"0")</f>
        <v>0</v>
      </c>
      <c r="DL83" s="407" t="str">
        <f>IFERROR(SUM($BI83:BP83)/SUM($AW83:BD83),"0")</f>
        <v>0</v>
      </c>
      <c r="DM83" s="407" t="str">
        <f>IFERROR(SUM($BI83:BQ83)/SUM($AW83:BE83),"0")</f>
        <v>0</v>
      </c>
      <c r="DN83" s="407" t="str">
        <f>IFERROR(SUM($BI83:BR83)/SUM($AW83:BF83),"0")</f>
        <v>0</v>
      </c>
      <c r="DO83" s="407" t="str">
        <f>IFERROR(SUM($BI83:BS83)/SUM($AW83:BG83),"0")</f>
        <v>0</v>
      </c>
      <c r="DP83" s="408" t="str">
        <f>IFERROR(SUM($BI83:BT83)/SUM($AW83:BH83),"0")</f>
        <v>0</v>
      </c>
    </row>
    <row r="84" spans="1:120" s="399" customFormat="1" ht="39" customHeight="1" x14ac:dyDescent="0.25">
      <c r="A84" s="384" t="s">
        <v>1046</v>
      </c>
      <c r="B84" s="207" t="s">
        <v>703</v>
      </c>
      <c r="C84" s="385" t="s">
        <v>1047</v>
      </c>
      <c r="D84" s="207" t="s">
        <v>470</v>
      </c>
      <c r="E84" s="421" t="s">
        <v>443</v>
      </c>
      <c r="F84" s="403" t="s">
        <v>1048</v>
      </c>
      <c r="G84" s="207" t="s">
        <v>703</v>
      </c>
      <c r="H84" s="403" t="s">
        <v>1049</v>
      </c>
      <c r="I84" s="386" t="s">
        <v>357</v>
      </c>
      <c r="J84" s="384" t="s">
        <v>825</v>
      </c>
      <c r="K84" s="401" t="s">
        <v>897</v>
      </c>
      <c r="L84" s="392" t="s">
        <v>448</v>
      </c>
      <c r="M84" s="392" t="s">
        <v>406</v>
      </c>
      <c r="N84" s="392"/>
      <c r="O84" s="392"/>
      <c r="P84" s="403" t="s">
        <v>1050</v>
      </c>
      <c r="Q84" s="403" t="s">
        <v>1051</v>
      </c>
      <c r="R84" s="403" t="s">
        <v>1052</v>
      </c>
      <c r="S84" s="403" t="s">
        <v>1053</v>
      </c>
      <c r="T84" s="403" t="s">
        <v>1054</v>
      </c>
      <c r="U84" s="403" t="s">
        <v>1055</v>
      </c>
      <c r="V84" s="418" t="s">
        <v>1056</v>
      </c>
      <c r="W84" s="418" t="s">
        <v>1056</v>
      </c>
      <c r="X84" s="426" t="s">
        <v>399</v>
      </c>
      <c r="Y84" s="427" t="s">
        <v>399</v>
      </c>
      <c r="Z84" s="387" t="s">
        <v>329</v>
      </c>
      <c r="AA84" s="403" t="s">
        <v>194</v>
      </c>
      <c r="AB84" s="354" t="s">
        <v>217</v>
      </c>
      <c r="AC84" s="392" t="s">
        <v>714</v>
      </c>
      <c r="AD84" s="392" t="s">
        <v>715</v>
      </c>
      <c r="AE84" s="403" t="s">
        <v>716</v>
      </c>
      <c r="AF84" s="350">
        <v>0</v>
      </c>
      <c r="AG84" s="390">
        <v>100</v>
      </c>
      <c r="AH84" s="390">
        <v>0</v>
      </c>
      <c r="AI84" s="390">
        <v>0</v>
      </c>
      <c r="AJ84" s="390">
        <v>0</v>
      </c>
      <c r="AK84" s="390">
        <v>0</v>
      </c>
      <c r="AL84" s="350">
        <v>0</v>
      </c>
      <c r="AM84" s="414">
        <v>100</v>
      </c>
      <c r="AN84" s="389"/>
      <c r="AO84" s="389"/>
      <c r="AP84" s="390"/>
      <c r="AQ84" s="390"/>
      <c r="AR84" s="391" t="str">
        <f t="shared" si="21"/>
        <v>0</v>
      </c>
      <c r="AS84" s="391">
        <f t="shared" si="22"/>
        <v>1</v>
      </c>
      <c r="AT84" s="391" t="str">
        <f t="shared" si="18"/>
        <v>0</v>
      </c>
      <c r="AU84" s="391" t="str">
        <f t="shared" si="23"/>
        <v>0</v>
      </c>
      <c r="AV84" s="391" t="str">
        <f t="shared" si="24"/>
        <v>0</v>
      </c>
      <c r="AW84" s="364">
        <v>0</v>
      </c>
      <c r="AX84" s="364">
        <v>0</v>
      </c>
      <c r="AY84" s="364">
        <v>0</v>
      </c>
      <c r="AZ84" s="364">
        <v>0</v>
      </c>
      <c r="BA84" s="364">
        <v>0</v>
      </c>
      <c r="BB84" s="364">
        <v>0</v>
      </c>
      <c r="BC84" s="364">
        <v>0</v>
      </c>
      <c r="BD84" s="364">
        <v>0</v>
      </c>
      <c r="BE84" s="364">
        <v>0</v>
      </c>
      <c r="BF84" s="364">
        <v>0</v>
      </c>
      <c r="BG84" s="364">
        <v>0</v>
      </c>
      <c r="BH84" s="364">
        <v>0</v>
      </c>
      <c r="BI84" s="364"/>
      <c r="BJ84" s="364"/>
      <c r="BK84" s="364"/>
      <c r="BL84" s="364"/>
      <c r="BM84" s="364"/>
      <c r="BN84" s="364"/>
      <c r="BO84" s="360"/>
      <c r="BP84" s="364"/>
      <c r="BQ84" s="364"/>
      <c r="BR84" s="364"/>
      <c r="BS84" s="364"/>
      <c r="BT84" s="364"/>
      <c r="BU84" s="392"/>
      <c r="BV84" s="392"/>
      <c r="BW84" s="392"/>
      <c r="BX84" s="392"/>
      <c r="BY84" s="392"/>
      <c r="BZ84" s="392"/>
      <c r="CA84" s="392"/>
      <c r="CB84" s="392"/>
      <c r="CC84" s="392"/>
      <c r="CD84" s="392"/>
      <c r="CE84" s="392"/>
      <c r="CF84" s="392"/>
      <c r="CG84" s="423"/>
      <c r="CH84" s="504">
        <f t="shared" si="20"/>
        <v>0</v>
      </c>
      <c r="CI84" s="394"/>
      <c r="CJ84" s="424">
        <v>0</v>
      </c>
      <c r="CK84" s="424">
        <v>0.5</v>
      </c>
      <c r="CL84" s="424">
        <v>0.51</v>
      </c>
      <c r="CM84" s="424">
        <v>0.75</v>
      </c>
      <c r="CN84" s="424">
        <v>0.76</v>
      </c>
      <c r="CO84" s="424">
        <v>1</v>
      </c>
      <c r="CP84" s="411"/>
      <c r="CQ84" s="207" t="str">
        <f t="shared" si="16"/>
        <v>OPERATIVO</v>
      </c>
      <c r="CR84" s="397">
        <f t="shared" si="17"/>
        <v>0</v>
      </c>
      <c r="CS84" s="398">
        <f>IFERROR(SUM($BI84:BI84)/SUM($AW84:AW84),0)</f>
        <v>0</v>
      </c>
      <c r="CT84" s="398">
        <f>IFERROR(SUM($BI84:BJ84)/SUM($AW84:AX84),0)</f>
        <v>0</v>
      </c>
      <c r="CU84" s="398">
        <f>IFERROR(SUM($BI84:BK84)/SUM($AW84:AY84),0)</f>
        <v>0</v>
      </c>
      <c r="CV84" s="398">
        <f>IFERROR(SUM($BI84:BL84)/SUM($AW84:AZ84),0)</f>
        <v>0</v>
      </c>
      <c r="CW84" s="398">
        <f>IFERROR(SUM($BI84:BM84)/SUM($AW84:BA84),0)</f>
        <v>0</v>
      </c>
      <c r="CX84" s="398">
        <f>IFERROR(SUM($BI84:BN84)/SUM($AW84:BB84),0)</f>
        <v>0</v>
      </c>
      <c r="CY84" s="398">
        <f>IFERROR(SUM($BI84:BO84)/SUM($AW84:BC84),0)</f>
        <v>0</v>
      </c>
      <c r="CZ84" s="398">
        <f>IFERROR(SUM($BI84:BP84)/SUM($AW84:BD84),0)</f>
        <v>0</v>
      </c>
      <c r="DA84" s="398">
        <f>IFERROR(SUM($BI84:BQ84)/SUM($AW84:BE84),0)</f>
        <v>0</v>
      </c>
      <c r="DB84" s="398">
        <f>IFERROR(SUM($BI84:BR84)/SUM($AW84:BF84),0)</f>
        <v>0</v>
      </c>
      <c r="DC84" s="398">
        <f>IFERROR(SUM($BI84:BS84)/SUM($AW84:BG84),0)</f>
        <v>0</v>
      </c>
      <c r="DD84" s="398">
        <f>IFERROR(SUM($BI84:BT84)/SUM($AW84:BH84),0)</f>
        <v>0</v>
      </c>
      <c r="DE84" s="371" t="str">
        <f t="shared" si="19"/>
        <v>0</v>
      </c>
      <c r="DF84" s="372" t="str">
        <f>IFERROR(SUM($BI84:BJ84)/SUM($AW84:AX84),"0")</f>
        <v>0</v>
      </c>
      <c r="DG84" s="373" t="str">
        <f>IFERROR(SUM($BI84:BK84)/SUM($AW84:AY84),"0")</f>
        <v>0</v>
      </c>
      <c r="DH84" s="373" t="str">
        <f>IFERROR(SUM($BI84:BL84)/SUM($AW84:AZ84),"0")</f>
        <v>0</v>
      </c>
      <c r="DI84" s="373" t="str">
        <f>IFERROR(SUM($BI84:BM84)/SUM($AW84:BA84),"0")</f>
        <v>0</v>
      </c>
      <c r="DJ84" s="373" t="str">
        <f>IFERROR(SUM($BI84:BN84)/SUM($AW84:BB84),"0")</f>
        <v>0</v>
      </c>
      <c r="DK84" s="373" t="str">
        <f>IFERROR(SUM($BI84:BO84)/SUM($AW84:BC84),"0")</f>
        <v>0</v>
      </c>
      <c r="DL84" s="373" t="str">
        <f>IFERROR(SUM($BI84:BP84)/SUM($AW84:BD84),"0")</f>
        <v>0</v>
      </c>
      <c r="DM84" s="373" t="str">
        <f>IFERROR(SUM($BI84:BQ84)/SUM($AW84:BE84),"0")</f>
        <v>0</v>
      </c>
      <c r="DN84" s="373" t="str">
        <f>IFERROR(SUM($BI84:BR84)/SUM($AW84:BF84),"0")</f>
        <v>0</v>
      </c>
      <c r="DO84" s="373" t="str">
        <f>IFERROR(SUM($BI84:BS84)/SUM($AW84:BG84),"0")</f>
        <v>0</v>
      </c>
      <c r="DP84" s="374" t="str">
        <f>IFERROR(SUM($BI84:BT84)/SUM($AW84:BH84),"0")</f>
        <v>0</v>
      </c>
    </row>
    <row r="85" spans="1:120" s="375" customFormat="1" ht="39" customHeight="1" x14ac:dyDescent="0.25">
      <c r="A85" s="487" t="s">
        <v>440</v>
      </c>
      <c r="B85" s="347" t="s">
        <v>441</v>
      </c>
      <c r="C85" s="347" t="s">
        <v>442</v>
      </c>
      <c r="D85" s="347" t="s">
        <v>319</v>
      </c>
      <c r="E85" s="348" t="s">
        <v>443</v>
      </c>
      <c r="F85" s="349" t="s">
        <v>444</v>
      </c>
      <c r="G85" s="347" t="s">
        <v>445</v>
      </c>
      <c r="H85" s="350" t="s">
        <v>446</v>
      </c>
      <c r="I85" s="350" t="s">
        <v>180</v>
      </c>
      <c r="J85" s="350" t="s">
        <v>447</v>
      </c>
      <c r="K85" s="401" t="s">
        <v>897</v>
      </c>
      <c r="L85" s="350" t="s">
        <v>448</v>
      </c>
      <c r="M85" s="351" t="s">
        <v>406</v>
      </c>
      <c r="N85" s="350"/>
      <c r="O85" s="350"/>
      <c r="P85" s="350" t="s">
        <v>449</v>
      </c>
      <c r="Q85" s="350" t="s">
        <v>450</v>
      </c>
      <c r="R85" s="350" t="s">
        <v>451</v>
      </c>
      <c r="S85" s="350" t="s">
        <v>452</v>
      </c>
      <c r="T85" s="350" t="s">
        <v>453</v>
      </c>
      <c r="U85" s="350" t="s">
        <v>454</v>
      </c>
      <c r="V85" s="350" t="s">
        <v>455</v>
      </c>
      <c r="W85" s="350" t="s">
        <v>455</v>
      </c>
      <c r="X85" s="352">
        <v>0</v>
      </c>
      <c r="Y85" s="350">
        <v>0</v>
      </c>
      <c r="Z85" s="353" t="s">
        <v>193</v>
      </c>
      <c r="AA85" s="353" t="s">
        <v>456</v>
      </c>
      <c r="AB85" s="354" t="s">
        <v>217</v>
      </c>
      <c r="AC85" s="350" t="s">
        <v>261</v>
      </c>
      <c r="AD85" s="350" t="s">
        <v>261</v>
      </c>
      <c r="AE85" s="350" t="s">
        <v>457</v>
      </c>
      <c r="AF85" s="355">
        <v>100</v>
      </c>
      <c r="AG85" s="356">
        <f>SUM(AW85:BH85)</f>
        <v>100</v>
      </c>
      <c r="AH85" s="354">
        <v>100</v>
      </c>
      <c r="AI85" s="357">
        <v>100</v>
      </c>
      <c r="AJ85" s="358">
        <v>100</v>
      </c>
      <c r="AK85" s="358">
        <v>100</v>
      </c>
      <c r="AL85" s="359">
        <v>100</v>
      </c>
      <c r="AM85" s="360">
        <v>100</v>
      </c>
      <c r="AN85" s="360">
        <v>100</v>
      </c>
      <c r="AO85" s="361">
        <v>100</v>
      </c>
      <c r="AP85" s="362">
        <v>0</v>
      </c>
      <c r="AQ85" s="362">
        <v>0</v>
      </c>
      <c r="AR85" s="363">
        <f t="shared" si="21"/>
        <v>1</v>
      </c>
      <c r="AS85" s="363">
        <f t="shared" si="22"/>
        <v>1</v>
      </c>
      <c r="AT85" s="363">
        <f t="shared" si="18"/>
        <v>1</v>
      </c>
      <c r="AU85" s="363">
        <f t="shared" si="23"/>
        <v>0</v>
      </c>
      <c r="AV85" s="363">
        <f t="shared" si="24"/>
        <v>0</v>
      </c>
      <c r="AW85" s="364">
        <v>0</v>
      </c>
      <c r="AX85" s="364">
        <v>0</v>
      </c>
      <c r="AY85" s="364">
        <v>19</v>
      </c>
      <c r="AZ85" s="364">
        <v>0</v>
      </c>
      <c r="BA85" s="364">
        <v>0</v>
      </c>
      <c r="BB85" s="364">
        <v>21</v>
      </c>
      <c r="BC85" s="364">
        <v>0</v>
      </c>
      <c r="BD85" s="364">
        <v>0</v>
      </c>
      <c r="BE85" s="364">
        <v>25</v>
      </c>
      <c r="BF85" s="364">
        <v>0</v>
      </c>
      <c r="BG85" s="364">
        <v>0</v>
      </c>
      <c r="BH85" s="364">
        <v>35</v>
      </c>
      <c r="BI85" s="365"/>
      <c r="BJ85" s="365"/>
      <c r="BK85" s="365"/>
      <c r="BL85" s="365"/>
      <c r="BM85" s="365"/>
      <c r="BN85" s="365"/>
      <c r="BO85" s="360"/>
      <c r="BP85" s="365"/>
      <c r="BQ85" s="360"/>
      <c r="BR85" s="365"/>
      <c r="BS85" s="365"/>
      <c r="BT85" s="365"/>
      <c r="BU85" s="350"/>
      <c r="BV85" s="350"/>
      <c r="BW85" s="350"/>
      <c r="BX85" s="350"/>
      <c r="BY85" s="350"/>
      <c r="BZ85" s="350"/>
      <c r="CA85" s="350"/>
      <c r="CB85" s="350"/>
      <c r="CC85" s="350"/>
      <c r="CD85" s="350"/>
      <c r="CE85" s="350"/>
      <c r="CF85" s="350"/>
      <c r="CG85" s="366"/>
      <c r="CH85" s="504">
        <f t="shared" si="20"/>
        <v>100</v>
      </c>
      <c r="CI85" s="354"/>
      <c r="CJ85" s="367">
        <v>0</v>
      </c>
      <c r="CK85" s="367">
        <v>0.59</v>
      </c>
      <c r="CL85" s="367">
        <v>0.6</v>
      </c>
      <c r="CM85" s="367">
        <v>0.84</v>
      </c>
      <c r="CN85" s="367">
        <v>0.85</v>
      </c>
      <c r="CO85" s="367">
        <v>1</v>
      </c>
      <c r="CP85" s="362"/>
      <c r="CQ85" s="368" t="str">
        <f t="shared" si="16"/>
        <v>TÁCTICO</v>
      </c>
      <c r="CR85" s="369">
        <f t="shared" si="17"/>
        <v>0</v>
      </c>
      <c r="CS85" s="370">
        <f>IFERROR(SUM($BI85:BI85)/SUM($AW85:AW85),0)</f>
        <v>0</v>
      </c>
      <c r="CT85" s="370">
        <f>IFERROR(SUM($BI85:BJ85)/SUM($AW85:AX85),0)</f>
        <v>0</v>
      </c>
      <c r="CU85" s="370">
        <f>IFERROR(SUM($BI85:BK85)/SUM($AW85:AY85),0)</f>
        <v>0</v>
      </c>
      <c r="CV85" s="370">
        <f>IFERROR(SUM($BI85:BL85)/SUM($AW85:AZ85),0)</f>
        <v>0</v>
      </c>
      <c r="CW85" s="370">
        <f>IFERROR(SUM($BI85:BM85)/SUM($AW85:BA85),0)</f>
        <v>0</v>
      </c>
      <c r="CX85" s="370">
        <f>IFERROR(SUM($BI85:BN85)/SUM($AW85:BB85),0)</f>
        <v>0</v>
      </c>
      <c r="CY85" s="370">
        <f>IFERROR(SUM($BI85:BO85)/SUM($AW85:BC85),0)</f>
        <v>0</v>
      </c>
      <c r="CZ85" s="370">
        <f>IFERROR(SUM($BI85:BP85)/SUM($AW85:BD85),0)</f>
        <v>0</v>
      </c>
      <c r="DA85" s="370">
        <f>IFERROR(SUM($BI85:BQ85)/SUM($AW85:BE85),0)</f>
        <v>0</v>
      </c>
      <c r="DB85" s="370">
        <f>IFERROR(SUM($BI85:BR85)/SUM($AW85:BF85),0)</f>
        <v>0</v>
      </c>
      <c r="DC85" s="370">
        <f>IFERROR(SUM($BI85:BS85)/SUM($AW85:BG85),0)</f>
        <v>0</v>
      </c>
      <c r="DD85" s="370">
        <f>IFERROR(SUM($BI85:BT85)/SUM($AW85:BH85),0)</f>
        <v>0</v>
      </c>
      <c r="DE85" s="371" t="str">
        <f t="shared" si="19"/>
        <v>0</v>
      </c>
      <c r="DF85" s="372" t="str">
        <f>IFERROR(SUM($BI85:BJ85)/SUM($AW85:AX85),"0")</f>
        <v>0</v>
      </c>
      <c r="DG85" s="373">
        <f>IFERROR(SUM($BI85:BK85)/SUM($AW85:AY85),"0")</f>
        <v>0</v>
      </c>
      <c r="DH85" s="373">
        <f>IFERROR(SUM($BI85:BL85)/SUM($AW85:AZ85),"0")</f>
        <v>0</v>
      </c>
      <c r="DI85" s="373">
        <f>IFERROR(SUM($BI85:BM85)/SUM($AW85:BA85),"0")</f>
        <v>0</v>
      </c>
      <c r="DJ85" s="373">
        <f>IFERROR(SUM($BI85:BN85)/SUM($AW85:BB85),"0")</f>
        <v>0</v>
      </c>
      <c r="DK85" s="373">
        <f>IFERROR(SUM($BI85:BO85)/SUM($AW85:BC85),"0")</f>
        <v>0</v>
      </c>
      <c r="DL85" s="373">
        <f>IFERROR(SUM($BI85:BP85)/SUM($AW85:BD85),"0")</f>
        <v>0</v>
      </c>
      <c r="DM85" s="373">
        <f>IFERROR(SUM($BI85:BQ85)/SUM($AW85:BE85),"0")</f>
        <v>0</v>
      </c>
      <c r="DN85" s="373">
        <f>IFERROR(SUM($BI85:BR85)/SUM($AW85:BF85),"0")</f>
        <v>0</v>
      </c>
      <c r="DO85" s="373">
        <f>IFERROR(SUM($BI85:BS85)/SUM($AW85:BG85),"0")</f>
        <v>0</v>
      </c>
      <c r="DP85" s="374">
        <f>IFERROR(SUM($BI85:BT85)/SUM($AW85:BH85),"0")</f>
        <v>0</v>
      </c>
    </row>
    <row r="86" spans="1:120" s="399" customFormat="1" ht="39" customHeight="1" x14ac:dyDescent="0.25">
      <c r="A86" s="487" t="s">
        <v>821</v>
      </c>
      <c r="B86" s="347" t="s">
        <v>703</v>
      </c>
      <c r="C86" s="354" t="s">
        <v>822</v>
      </c>
      <c r="D86" s="347" t="s">
        <v>470</v>
      </c>
      <c r="E86" s="348" t="s">
        <v>443</v>
      </c>
      <c r="F86" s="349" t="s">
        <v>823</v>
      </c>
      <c r="G86" s="347" t="s">
        <v>703</v>
      </c>
      <c r="H86" s="350" t="s">
        <v>824</v>
      </c>
      <c r="I86" s="353" t="s">
        <v>357</v>
      </c>
      <c r="J86" s="354" t="s">
        <v>825</v>
      </c>
      <c r="K86" s="347" t="s">
        <v>897</v>
      </c>
      <c r="L86" s="350" t="s">
        <v>448</v>
      </c>
      <c r="M86" s="350" t="s">
        <v>406</v>
      </c>
      <c r="N86" s="350"/>
      <c r="O86" s="350"/>
      <c r="P86" s="350" t="s">
        <v>826</v>
      </c>
      <c r="Q86" s="350" t="s">
        <v>756</v>
      </c>
      <c r="R86" s="350" t="s">
        <v>827</v>
      </c>
      <c r="S86" s="350" t="s">
        <v>828</v>
      </c>
      <c r="T86" s="350" t="s">
        <v>829</v>
      </c>
      <c r="U86" s="350" t="s">
        <v>830</v>
      </c>
      <c r="V86" s="350" t="s">
        <v>831</v>
      </c>
      <c r="W86" s="350" t="s">
        <v>831</v>
      </c>
      <c r="X86" s="450" t="s">
        <v>399</v>
      </c>
      <c r="Y86" s="450" t="s">
        <v>399</v>
      </c>
      <c r="Z86" s="353" t="s">
        <v>329</v>
      </c>
      <c r="AA86" s="350" t="s">
        <v>832</v>
      </c>
      <c r="AB86" s="354" t="s">
        <v>217</v>
      </c>
      <c r="AC86" s="350" t="s">
        <v>714</v>
      </c>
      <c r="AD86" s="350" t="s">
        <v>715</v>
      </c>
      <c r="AE86" s="350" t="s">
        <v>716</v>
      </c>
      <c r="AF86" s="350">
        <v>0</v>
      </c>
      <c r="AG86" s="365">
        <v>0</v>
      </c>
      <c r="AH86" s="451">
        <v>100</v>
      </c>
      <c r="AI86" s="452">
        <v>100</v>
      </c>
      <c r="AJ86" s="365">
        <v>100</v>
      </c>
      <c r="AK86" s="365">
        <v>100</v>
      </c>
      <c r="AL86" s="365">
        <v>0</v>
      </c>
      <c r="AM86" s="360">
        <v>0</v>
      </c>
      <c r="AN86" s="453">
        <v>94</v>
      </c>
      <c r="AO86" s="434">
        <v>94</v>
      </c>
      <c r="AP86" s="362">
        <v>0</v>
      </c>
      <c r="AQ86" s="362">
        <v>0</v>
      </c>
      <c r="AR86" s="363" t="str">
        <f t="shared" si="21"/>
        <v>0</v>
      </c>
      <c r="AS86" s="363" t="str">
        <f t="shared" si="22"/>
        <v>0</v>
      </c>
      <c r="AT86" s="363">
        <f t="shared" si="18"/>
        <v>0.94</v>
      </c>
      <c r="AU86" s="363">
        <f t="shared" si="23"/>
        <v>0</v>
      </c>
      <c r="AV86" s="363">
        <f t="shared" si="24"/>
        <v>0</v>
      </c>
      <c r="AW86" s="365">
        <v>0</v>
      </c>
      <c r="AX86" s="365">
        <v>0</v>
      </c>
      <c r="AY86" s="365">
        <v>100</v>
      </c>
      <c r="AZ86" s="365">
        <v>0</v>
      </c>
      <c r="BA86" s="365">
        <v>0</v>
      </c>
      <c r="BB86" s="365">
        <v>100</v>
      </c>
      <c r="BC86" s="365">
        <v>0</v>
      </c>
      <c r="BD86" s="365">
        <v>0</v>
      </c>
      <c r="BE86" s="365">
        <v>100</v>
      </c>
      <c r="BF86" s="365">
        <v>0</v>
      </c>
      <c r="BG86" s="365">
        <v>0</v>
      </c>
      <c r="BH86" s="365">
        <v>100</v>
      </c>
      <c r="BI86" s="365"/>
      <c r="BJ86" s="365"/>
      <c r="BK86" s="365"/>
      <c r="BL86" s="365"/>
      <c r="BM86" s="365"/>
      <c r="BN86" s="365"/>
      <c r="BO86" s="360"/>
      <c r="BP86" s="365"/>
      <c r="BQ86" s="354"/>
      <c r="BR86" s="365"/>
      <c r="BS86" s="365"/>
      <c r="BT86" s="365"/>
      <c r="BU86" s="350"/>
      <c r="BV86" s="350"/>
      <c r="BW86" s="350"/>
      <c r="BX86" s="350"/>
      <c r="BY86" s="350"/>
      <c r="BZ86" s="350"/>
      <c r="CA86" s="350"/>
      <c r="CB86" s="350"/>
      <c r="CC86" s="350"/>
      <c r="CD86" s="350"/>
      <c r="CE86" s="350"/>
      <c r="CF86" s="350"/>
      <c r="CG86" s="454"/>
      <c r="CH86" s="504">
        <f t="shared" si="20"/>
        <v>100</v>
      </c>
      <c r="CI86" s="354"/>
      <c r="CJ86" s="367">
        <v>0</v>
      </c>
      <c r="CK86" s="367">
        <v>0.5</v>
      </c>
      <c r="CL86" s="367">
        <v>0.51</v>
      </c>
      <c r="CM86" s="367">
        <v>0.75</v>
      </c>
      <c r="CN86" s="367">
        <v>0.76</v>
      </c>
      <c r="CO86" s="367">
        <v>1</v>
      </c>
      <c r="CP86" s="362"/>
      <c r="CQ86" s="368" t="str">
        <f t="shared" si="16"/>
        <v>OPERATIVO</v>
      </c>
      <c r="CR86" s="369">
        <f t="shared" si="17"/>
        <v>0</v>
      </c>
      <c r="CS86" s="370">
        <f>IFERROR(SUM($BI86:BI86)/SUM($AW86:AW86),0)</f>
        <v>0</v>
      </c>
      <c r="CT86" s="370">
        <f>IFERROR(SUM($BI86:BJ86)/SUM($AW86:AX86),0)</f>
        <v>0</v>
      </c>
      <c r="CU86" s="370">
        <f>IFERROR(SUM($BI86:BK86)/SUM($AW86:AY86),0)</f>
        <v>0</v>
      </c>
      <c r="CV86" s="370">
        <f>IFERROR(SUM($BI86:BL86)/SUM($AW86:AZ86),0)</f>
        <v>0</v>
      </c>
      <c r="CW86" s="370">
        <f>IFERROR(SUM($BI86:BM86)/SUM($AW86:BA86),0)</f>
        <v>0</v>
      </c>
      <c r="CX86" s="370">
        <f>IFERROR(SUM($BI86:BN86)/SUM($AW86:BB86),0)</f>
        <v>0</v>
      </c>
      <c r="CY86" s="370">
        <f>IFERROR(SUM($BI86:BO86)/SUM($AW86:BC86),0)</f>
        <v>0</v>
      </c>
      <c r="CZ86" s="370">
        <f>IFERROR(SUM($BI86:BP86)/SUM($AW86:BD86),0)</f>
        <v>0</v>
      </c>
      <c r="DA86" s="370">
        <f>IFERROR(SUM($BI86:BQ86)/SUM($AW86:BE86),0)</f>
        <v>0</v>
      </c>
      <c r="DB86" s="370">
        <f>IFERROR(SUM($BI86:BR86)/SUM($AW86:BF86),0)</f>
        <v>0</v>
      </c>
      <c r="DC86" s="370">
        <f>IFERROR(SUM($BI86:BS86)/SUM($AW86:BG86),0)</f>
        <v>0</v>
      </c>
      <c r="DD86" s="370">
        <f>IFERROR(SUM($BI86:BT86)/SUM($AW86:BH86),0)</f>
        <v>0</v>
      </c>
      <c r="DE86" s="371" t="str">
        <f t="shared" si="19"/>
        <v>0</v>
      </c>
      <c r="DF86" s="372" t="str">
        <f>IFERROR(SUM($BI86:BJ86)/SUM($AW86:AX86),"0")</f>
        <v>0</v>
      </c>
      <c r="DG86" s="373">
        <f>IFERROR(SUM($BI86:BK86)/SUM($AW86:AY86),"0")</f>
        <v>0</v>
      </c>
      <c r="DH86" s="373">
        <f>IFERROR(SUM($BI86:BL86)/SUM($AW86:AZ86),"0")</f>
        <v>0</v>
      </c>
      <c r="DI86" s="373">
        <f>IFERROR(SUM($BI86:BM86)/SUM($AW86:BA86),"0")</f>
        <v>0</v>
      </c>
      <c r="DJ86" s="373">
        <f>IFERROR(SUM($BI86:BN86)/SUM($AW86:BB86),"0")</f>
        <v>0</v>
      </c>
      <c r="DK86" s="373">
        <f>IFERROR(SUM($BI86:BO86)/SUM($AW86:BC86),"0")</f>
        <v>0</v>
      </c>
      <c r="DL86" s="373">
        <f>IFERROR(SUM($BI86:BP86)/SUM($AW86:BD86),"0")</f>
        <v>0</v>
      </c>
      <c r="DM86" s="373">
        <f>IFERROR(SUM($BI86:BQ86)/SUM($AW86:BE86),"0")</f>
        <v>0</v>
      </c>
      <c r="DN86" s="373">
        <f>IFERROR(SUM($BI86:BR86)/SUM($AW86:BF86),"0")</f>
        <v>0</v>
      </c>
      <c r="DO86" s="373">
        <f>IFERROR(SUM($BI86:BS86)/SUM($AW86:BG86),"0")</f>
        <v>0</v>
      </c>
      <c r="DP86" s="374">
        <f>IFERROR(SUM($BI86:BT86)/SUM($AW86:BH86),"0")</f>
        <v>0</v>
      </c>
    </row>
    <row r="87" spans="1:120" s="399" customFormat="1" ht="39" customHeight="1" x14ac:dyDescent="0.25">
      <c r="A87" s="487" t="s">
        <v>652</v>
      </c>
      <c r="B87" s="347" t="s">
        <v>201</v>
      </c>
      <c r="C87" s="354" t="s">
        <v>653</v>
      </c>
      <c r="D87" s="347" t="s">
        <v>470</v>
      </c>
      <c r="E87" s="348" t="s">
        <v>443</v>
      </c>
      <c r="F87" s="349" t="s">
        <v>654</v>
      </c>
      <c r="G87" s="347" t="s">
        <v>201</v>
      </c>
      <c r="H87" s="350" t="s">
        <v>655</v>
      </c>
      <c r="I87" s="350" t="s">
        <v>180</v>
      </c>
      <c r="J87" s="350" t="s">
        <v>205</v>
      </c>
      <c r="K87" s="347" t="s">
        <v>897</v>
      </c>
      <c r="L87" s="350" t="s">
        <v>448</v>
      </c>
      <c r="M87" s="350"/>
      <c r="N87" s="350"/>
      <c r="O87" s="350"/>
      <c r="P87" s="350" t="s">
        <v>656</v>
      </c>
      <c r="Q87" s="350" t="s">
        <v>657</v>
      </c>
      <c r="R87" s="350" t="s">
        <v>658</v>
      </c>
      <c r="S87" s="350" t="s">
        <v>233</v>
      </c>
      <c r="T87" s="350" t="s">
        <v>659</v>
      </c>
      <c r="U87" s="350" t="s">
        <v>233</v>
      </c>
      <c r="V87" s="350" t="s">
        <v>660</v>
      </c>
      <c r="W87" s="350" t="s">
        <v>233</v>
      </c>
      <c r="X87" s="354">
        <v>0</v>
      </c>
      <c r="Y87" s="354">
        <v>0</v>
      </c>
      <c r="Z87" s="353" t="s">
        <v>215</v>
      </c>
      <c r="AA87" s="350" t="s">
        <v>456</v>
      </c>
      <c r="AB87" s="354" t="s">
        <v>217</v>
      </c>
      <c r="AC87" s="350" t="s">
        <v>661</v>
      </c>
      <c r="AD87" s="350" t="s">
        <v>661</v>
      </c>
      <c r="AE87" s="350" t="s">
        <v>220</v>
      </c>
      <c r="AF87" s="350">
        <v>0</v>
      </c>
      <c r="AG87" s="355">
        <v>55</v>
      </c>
      <c r="AH87" s="455">
        <v>47</v>
      </c>
      <c r="AI87" s="452">
        <v>100</v>
      </c>
      <c r="AJ87" s="456"/>
      <c r="AK87" s="456"/>
      <c r="AL87" s="355">
        <v>0</v>
      </c>
      <c r="AM87" s="360">
        <v>57</v>
      </c>
      <c r="AN87" s="457">
        <v>49</v>
      </c>
      <c r="AO87" s="434">
        <v>100</v>
      </c>
      <c r="AP87" s="362">
        <v>0</v>
      </c>
      <c r="AQ87" s="362">
        <v>0</v>
      </c>
      <c r="AR87" s="363" t="str">
        <f t="shared" si="21"/>
        <v>0</v>
      </c>
      <c r="AS87" s="363">
        <f t="shared" si="22"/>
        <v>1.0363636363636364</v>
      </c>
      <c r="AT87" s="363">
        <f t="shared" si="18"/>
        <v>1</v>
      </c>
      <c r="AU87" s="363" t="str">
        <f t="shared" si="23"/>
        <v>0</v>
      </c>
      <c r="AV87" s="363" t="str">
        <f t="shared" si="24"/>
        <v>0</v>
      </c>
      <c r="AW87" s="456">
        <v>0</v>
      </c>
      <c r="AX87" s="456">
        <v>0</v>
      </c>
      <c r="AY87" s="355">
        <v>11</v>
      </c>
      <c r="AZ87" s="355">
        <v>0</v>
      </c>
      <c r="BA87" s="355">
        <v>0</v>
      </c>
      <c r="BB87" s="355">
        <v>12</v>
      </c>
      <c r="BC87" s="355">
        <v>0</v>
      </c>
      <c r="BD87" s="355">
        <v>0</v>
      </c>
      <c r="BE87" s="355">
        <v>12</v>
      </c>
      <c r="BF87" s="355">
        <v>0</v>
      </c>
      <c r="BG87" s="355">
        <v>0</v>
      </c>
      <c r="BH87" s="355">
        <v>12</v>
      </c>
      <c r="BI87" s="355"/>
      <c r="BJ87" s="355"/>
      <c r="BK87" s="355"/>
      <c r="BL87" s="365"/>
      <c r="BM87" s="365"/>
      <c r="BN87" s="365"/>
      <c r="BO87" s="360"/>
      <c r="BP87" s="365"/>
      <c r="BQ87" s="360"/>
      <c r="BR87" s="365"/>
      <c r="BS87" s="365"/>
      <c r="BT87" s="365"/>
      <c r="BU87" s="350"/>
      <c r="BV87" s="350"/>
      <c r="BW87" s="350"/>
      <c r="BX87" s="350"/>
      <c r="BY87" s="350"/>
      <c r="BZ87" s="350"/>
      <c r="CA87" s="350"/>
      <c r="CB87" s="350"/>
      <c r="CC87" s="350"/>
      <c r="CD87" s="350"/>
      <c r="CE87" s="350"/>
      <c r="CF87" s="350"/>
      <c r="CG87" s="366"/>
      <c r="CH87" s="504">
        <f t="shared" si="20"/>
        <v>0</v>
      </c>
      <c r="CI87" s="354"/>
      <c r="CJ87" s="458">
        <v>0</v>
      </c>
      <c r="CK87" s="458">
        <v>39</v>
      </c>
      <c r="CL87" s="458">
        <v>40</v>
      </c>
      <c r="CM87" s="458">
        <v>54</v>
      </c>
      <c r="CN87" s="458">
        <v>55</v>
      </c>
      <c r="CO87" s="458">
        <v>60</v>
      </c>
      <c r="CP87" s="459" t="s">
        <v>662</v>
      </c>
      <c r="CQ87" s="368" t="str">
        <f t="shared" si="16"/>
        <v>OPERATIVO</v>
      </c>
      <c r="CR87" s="369">
        <f t="shared" si="17"/>
        <v>0</v>
      </c>
      <c r="CS87" s="370">
        <f>IFERROR(SUM($BI87:BI87)/SUM($AW87:AW87),0)</f>
        <v>0</v>
      </c>
      <c r="CT87" s="370">
        <f>IFERROR(SUM($BI87:BJ87)/SUM($AW87:AX87),0)</f>
        <v>0</v>
      </c>
      <c r="CU87" s="370">
        <f>IFERROR(SUM($BI87:BK87)/SUM($AW87:AY87),0)</f>
        <v>0</v>
      </c>
      <c r="CV87" s="370">
        <f>IFERROR(SUM($BI87:BL87)/SUM($AW87:AZ87),0)</f>
        <v>0</v>
      </c>
      <c r="CW87" s="370">
        <f>IFERROR(SUM($BI87:BM87)/SUM($AW87:BA87),0)</f>
        <v>0</v>
      </c>
      <c r="CX87" s="370">
        <f>IFERROR(SUM($BI87:BN87)/SUM($AW87:BB87),0)</f>
        <v>0</v>
      </c>
      <c r="CY87" s="370">
        <f>IFERROR(SUM($BI87:BO87)/SUM($AW87:BC87),0)</f>
        <v>0</v>
      </c>
      <c r="CZ87" s="370">
        <f>IFERROR(SUM($BI87:BP87)/SUM($AW87:BD87),0)</f>
        <v>0</v>
      </c>
      <c r="DA87" s="370">
        <f>IFERROR(SUM($BI87:BQ87)/SUM($AW87:BE87),0)</f>
        <v>0</v>
      </c>
      <c r="DB87" s="370">
        <f>IFERROR(SUM($BI87:BR87)/SUM($AW87:BF87),0)</f>
        <v>0</v>
      </c>
      <c r="DC87" s="370">
        <f>IFERROR(SUM($BI87:BS87)/SUM($AW87:BG87),0)</f>
        <v>0</v>
      </c>
      <c r="DD87" s="370">
        <f>IFERROR(SUM($BI87:BT87)/SUM($AW87:BH87),0)</f>
        <v>0</v>
      </c>
      <c r="DE87" s="405" t="str">
        <f t="shared" si="19"/>
        <v>0</v>
      </c>
      <c r="DF87" s="406" t="str">
        <f>IFERROR(SUM($BI87:BJ87)/SUM($AW87:AX87),"0")</f>
        <v>0</v>
      </c>
      <c r="DG87" s="407">
        <f>IFERROR(SUM($BI87:BK87)/SUM($AW87:AY87),"0")</f>
        <v>0</v>
      </c>
      <c r="DH87" s="407">
        <f>IFERROR(SUM($BI87:BL87)/SUM($AW87:AZ87),"0")</f>
        <v>0</v>
      </c>
      <c r="DI87" s="407">
        <f>IFERROR(SUM($BI87:BM87)/SUM($AW87:BA87),"0")</f>
        <v>0</v>
      </c>
      <c r="DJ87" s="407">
        <f>IFERROR(SUM($BI87:BN87)/SUM($AW87:BB87),"0")</f>
        <v>0</v>
      </c>
      <c r="DK87" s="407">
        <f>IFERROR(SUM($BI87:BO87)/SUM($AW87:BC87),"0")</f>
        <v>0</v>
      </c>
      <c r="DL87" s="407">
        <f>IFERROR(SUM($BI87:BP87)/SUM($AW87:BD87),"0")</f>
        <v>0</v>
      </c>
      <c r="DM87" s="407">
        <f>IFERROR(SUM($BI87:BQ87)/SUM($AW87:BE87),"0")</f>
        <v>0</v>
      </c>
      <c r="DN87" s="407">
        <f>IFERROR(SUM($BI87:BR87)/SUM($AW87:BF87),"0")</f>
        <v>0</v>
      </c>
      <c r="DO87" s="407">
        <f>IFERROR(SUM($BI87:BS87)/SUM($AW87:BG87),"0")</f>
        <v>0</v>
      </c>
      <c r="DP87" s="408">
        <f>IFERROR(SUM($BI87:BT87)/SUM($AW87:BH87),"0")</f>
        <v>0</v>
      </c>
    </row>
    <row r="88" spans="1:120" s="399" customFormat="1" ht="39" customHeight="1" x14ac:dyDescent="0.25">
      <c r="A88" s="487" t="s">
        <v>1252</v>
      </c>
      <c r="B88" s="347" t="s">
        <v>201</v>
      </c>
      <c r="C88" s="354" t="s">
        <v>681</v>
      </c>
      <c r="D88" s="347" t="s">
        <v>470</v>
      </c>
      <c r="E88" s="348" t="s">
        <v>443</v>
      </c>
      <c r="F88" s="349" t="s">
        <v>682</v>
      </c>
      <c r="G88" s="347" t="s">
        <v>201</v>
      </c>
      <c r="H88" s="350" t="s">
        <v>1265</v>
      </c>
      <c r="I88" s="350" t="s">
        <v>253</v>
      </c>
      <c r="J88" s="350" t="s">
        <v>205</v>
      </c>
      <c r="K88" s="347" t="s">
        <v>897</v>
      </c>
      <c r="L88" s="350" t="s">
        <v>448</v>
      </c>
      <c r="M88" s="350"/>
      <c r="N88" s="350"/>
      <c r="O88" s="350"/>
      <c r="P88" s="350" t="s">
        <v>1266</v>
      </c>
      <c r="Q88" s="350" t="s">
        <v>1267</v>
      </c>
      <c r="R88" s="350" t="s">
        <v>683</v>
      </c>
      <c r="S88" s="350" t="s">
        <v>684</v>
      </c>
      <c r="T88" s="350" t="s">
        <v>685</v>
      </c>
      <c r="U88" s="350" t="s">
        <v>686</v>
      </c>
      <c r="V88" s="350" t="s">
        <v>687</v>
      </c>
      <c r="W88" s="350" t="s">
        <v>687</v>
      </c>
      <c r="X88" s="354">
        <v>0</v>
      </c>
      <c r="Y88" s="354">
        <v>0</v>
      </c>
      <c r="Z88" s="353" t="s">
        <v>215</v>
      </c>
      <c r="AA88" s="350" t="s">
        <v>456</v>
      </c>
      <c r="AB88" s="354" t="s">
        <v>217</v>
      </c>
      <c r="AC88" s="350" t="s">
        <v>661</v>
      </c>
      <c r="AD88" s="350" t="s">
        <v>661</v>
      </c>
      <c r="AE88" s="350" t="s">
        <v>220</v>
      </c>
      <c r="AF88" s="350">
        <v>0</v>
      </c>
      <c r="AG88" s="355">
        <v>0</v>
      </c>
      <c r="AH88" s="455">
        <v>100</v>
      </c>
      <c r="AI88" s="452">
        <v>100</v>
      </c>
      <c r="AJ88" s="456"/>
      <c r="AK88" s="456"/>
      <c r="AL88" s="350">
        <v>0</v>
      </c>
      <c r="AM88" s="360">
        <v>0</v>
      </c>
      <c r="AN88" s="457">
        <v>100</v>
      </c>
      <c r="AO88" s="460">
        <v>100</v>
      </c>
      <c r="AP88" s="362">
        <v>0</v>
      </c>
      <c r="AQ88" s="362">
        <v>0</v>
      </c>
      <c r="AR88" s="363" t="str">
        <f t="shared" si="21"/>
        <v>0</v>
      </c>
      <c r="AS88" s="363" t="str">
        <f t="shared" si="22"/>
        <v>0</v>
      </c>
      <c r="AT88" s="363">
        <f t="shared" si="18"/>
        <v>1</v>
      </c>
      <c r="AU88" s="363" t="str">
        <f t="shared" si="23"/>
        <v>0</v>
      </c>
      <c r="AV88" s="363" t="str">
        <f t="shared" si="24"/>
        <v>0</v>
      </c>
      <c r="AW88" s="456">
        <v>0</v>
      </c>
      <c r="AX88" s="456">
        <v>0</v>
      </c>
      <c r="AY88" s="355">
        <v>100</v>
      </c>
      <c r="AZ88" s="355">
        <v>0</v>
      </c>
      <c r="BA88" s="355">
        <v>0</v>
      </c>
      <c r="BB88" s="355">
        <v>100</v>
      </c>
      <c r="BC88" s="355">
        <v>0</v>
      </c>
      <c r="BD88" s="355">
        <v>0</v>
      </c>
      <c r="BE88" s="355">
        <v>100</v>
      </c>
      <c r="BF88" s="355">
        <v>0</v>
      </c>
      <c r="BG88" s="355">
        <v>0</v>
      </c>
      <c r="BH88" s="355">
        <v>100</v>
      </c>
      <c r="BI88" s="355"/>
      <c r="BJ88" s="355"/>
      <c r="BK88" s="355"/>
      <c r="BL88" s="365"/>
      <c r="BM88" s="365"/>
      <c r="BN88" s="365"/>
      <c r="BO88" s="360"/>
      <c r="BP88" s="365"/>
      <c r="BQ88" s="360"/>
      <c r="BR88" s="365"/>
      <c r="BS88" s="365"/>
      <c r="BT88" s="365"/>
      <c r="BU88" s="350"/>
      <c r="BV88" s="350"/>
      <c r="BW88" s="350"/>
      <c r="BX88" s="350"/>
      <c r="BY88" s="350"/>
      <c r="BZ88" s="350"/>
      <c r="CA88" s="350"/>
      <c r="CB88" s="350"/>
      <c r="CC88" s="350"/>
      <c r="CD88" s="350"/>
      <c r="CE88" s="350"/>
      <c r="CF88" s="350"/>
      <c r="CG88" s="366"/>
      <c r="CH88" s="504">
        <f t="shared" si="20"/>
        <v>0</v>
      </c>
      <c r="CI88" s="354"/>
      <c r="CJ88" s="458">
        <v>0</v>
      </c>
      <c r="CK88" s="458">
        <v>39</v>
      </c>
      <c r="CL88" s="458">
        <v>40</v>
      </c>
      <c r="CM88" s="458">
        <v>54</v>
      </c>
      <c r="CN88" s="458">
        <v>55</v>
      </c>
      <c r="CO88" s="458">
        <v>60</v>
      </c>
      <c r="CP88" s="459"/>
      <c r="CQ88" s="368" t="str">
        <f t="shared" si="16"/>
        <v>OPERATIVO</v>
      </c>
      <c r="CR88" s="369">
        <f t="shared" si="17"/>
        <v>0</v>
      </c>
      <c r="CS88" s="370">
        <f>IFERROR(SUM($BI88:BI88)/SUM($AW88:AW88),0)</f>
        <v>0</v>
      </c>
      <c r="CT88" s="370">
        <f>IFERROR(SUM($BI88:BJ88)/SUM($AW88:AX88),0)</f>
        <v>0</v>
      </c>
      <c r="CU88" s="370">
        <f>IFERROR(SUM($BI88:BK88)/SUM($AW88:AY88),0)</f>
        <v>0</v>
      </c>
      <c r="CV88" s="370">
        <f>IFERROR(SUM($BI88:BL88)/SUM($AW88:AZ88),0)</f>
        <v>0</v>
      </c>
      <c r="CW88" s="370">
        <f>IFERROR(SUM($BI88:BM88)/SUM($AW88:BA88),0)</f>
        <v>0</v>
      </c>
      <c r="CX88" s="370">
        <f>IFERROR(SUM($BI88:BN88)/SUM($AW88:BB88),0)</f>
        <v>0</v>
      </c>
      <c r="CY88" s="370">
        <f>IFERROR(SUM($BI88:BO88)/SUM($AW88:BC88),0)</f>
        <v>0</v>
      </c>
      <c r="CZ88" s="370">
        <f>IFERROR(SUM($BI88:BP88)/SUM($AW88:BD88),0)</f>
        <v>0</v>
      </c>
      <c r="DA88" s="370">
        <f>IFERROR(SUM($BI88:BQ88)/SUM($AW88:BE88),0)</f>
        <v>0</v>
      </c>
      <c r="DB88" s="370">
        <f>IFERROR(SUM($BI88:BR88)/SUM($AW88:BF88),0)</f>
        <v>0</v>
      </c>
      <c r="DC88" s="370">
        <f>IFERROR(SUM($BI88:BS88)/SUM($AW88:BG88),0)</f>
        <v>0</v>
      </c>
      <c r="DD88" s="370">
        <f>IFERROR(SUM($BI88:BT88)/SUM($AW88:BH88),0)</f>
        <v>0</v>
      </c>
      <c r="DE88" s="371" t="str">
        <f t="shared" si="19"/>
        <v>0</v>
      </c>
      <c r="DF88" s="372" t="str">
        <f>IFERROR(SUM($BI88:BJ88)/SUM($AW88:AX88),"0")</f>
        <v>0</v>
      </c>
      <c r="DG88" s="373">
        <f>IFERROR(SUM($BI88:BK88)/SUM($AW88:AY88),"0")</f>
        <v>0</v>
      </c>
      <c r="DH88" s="373">
        <f>IFERROR(SUM($BI88:BL88)/SUM($AW88:AZ88),"0")</f>
        <v>0</v>
      </c>
      <c r="DI88" s="373">
        <f>IFERROR(SUM($BI88:BM88)/SUM($AW88:BA88),"0")</f>
        <v>0</v>
      </c>
      <c r="DJ88" s="373">
        <f>IFERROR(SUM($BI88:BN88)/SUM($AW88:BB88),"0")</f>
        <v>0</v>
      </c>
      <c r="DK88" s="373">
        <f>IFERROR(SUM($BI88:BO88)/SUM($AW88:BC88),"0")</f>
        <v>0</v>
      </c>
      <c r="DL88" s="373">
        <f>IFERROR(SUM($BI88:BP88)/SUM($AW88:BD88),"0")</f>
        <v>0</v>
      </c>
      <c r="DM88" s="373">
        <f>IFERROR(SUM($BI88:BQ88)/SUM($AW88:BE88),"0")</f>
        <v>0</v>
      </c>
      <c r="DN88" s="373">
        <f>IFERROR(SUM($BI88:BR88)/SUM($AW88:BF88),"0")</f>
        <v>0</v>
      </c>
      <c r="DO88" s="373">
        <f>IFERROR(SUM($BI88:BS88)/SUM($AW88:BG88),"0")</f>
        <v>0</v>
      </c>
      <c r="DP88" s="374">
        <f>IFERROR(SUM($BI88:BT88)/SUM($AW88:BH88),"0")</f>
        <v>0</v>
      </c>
    </row>
    <row r="89" spans="1:120" s="399" customFormat="1" ht="39" customHeight="1" x14ac:dyDescent="0.25">
      <c r="A89" s="487" t="s">
        <v>702</v>
      </c>
      <c r="B89" s="347" t="s">
        <v>703</v>
      </c>
      <c r="C89" s="354" t="s">
        <v>704</v>
      </c>
      <c r="D89" s="347" t="s">
        <v>470</v>
      </c>
      <c r="E89" s="348" t="s">
        <v>443</v>
      </c>
      <c r="F89" s="349" t="s">
        <v>705</v>
      </c>
      <c r="G89" s="347" t="s">
        <v>703</v>
      </c>
      <c r="H89" s="350" t="s">
        <v>706</v>
      </c>
      <c r="I89" s="353" t="s">
        <v>357</v>
      </c>
      <c r="J89" s="475" t="s">
        <v>707</v>
      </c>
      <c r="K89" s="347" t="s">
        <v>897</v>
      </c>
      <c r="L89" s="350" t="s">
        <v>406</v>
      </c>
      <c r="M89" s="350"/>
      <c r="N89" s="350"/>
      <c r="O89" s="350"/>
      <c r="P89" s="350" t="s">
        <v>708</v>
      </c>
      <c r="Q89" s="350" t="s">
        <v>567</v>
      </c>
      <c r="R89" s="350" t="s">
        <v>709</v>
      </c>
      <c r="S89" s="350" t="s">
        <v>710</v>
      </c>
      <c r="T89" s="350" t="s">
        <v>711</v>
      </c>
      <c r="U89" s="350" t="s">
        <v>712</v>
      </c>
      <c r="V89" s="350" t="s">
        <v>713</v>
      </c>
      <c r="W89" s="350" t="s">
        <v>713</v>
      </c>
      <c r="X89" s="450" t="s">
        <v>399</v>
      </c>
      <c r="Y89" s="350" t="s">
        <v>399</v>
      </c>
      <c r="Z89" s="353" t="s">
        <v>193</v>
      </c>
      <c r="AA89" s="350" t="s">
        <v>456</v>
      </c>
      <c r="AB89" s="354" t="s">
        <v>217</v>
      </c>
      <c r="AC89" s="350" t="s">
        <v>714</v>
      </c>
      <c r="AD89" s="350" t="s">
        <v>715</v>
      </c>
      <c r="AE89" s="350" t="s">
        <v>716</v>
      </c>
      <c r="AF89" s="350">
        <v>0</v>
      </c>
      <c r="AG89" s="365">
        <v>100</v>
      </c>
      <c r="AH89" s="451">
        <v>100</v>
      </c>
      <c r="AI89" s="452">
        <v>100</v>
      </c>
      <c r="AJ89" s="365">
        <v>100</v>
      </c>
      <c r="AK89" s="365">
        <v>100</v>
      </c>
      <c r="AL89" s="365">
        <v>0</v>
      </c>
      <c r="AM89" s="360">
        <v>100</v>
      </c>
      <c r="AN89" s="457">
        <v>100</v>
      </c>
      <c r="AO89" s="460">
        <v>100</v>
      </c>
      <c r="AP89" s="362">
        <v>0</v>
      </c>
      <c r="AQ89" s="362">
        <v>0</v>
      </c>
      <c r="AR89" s="363" t="str">
        <f t="shared" si="21"/>
        <v>0</v>
      </c>
      <c r="AS89" s="363">
        <f t="shared" si="22"/>
        <v>1</v>
      </c>
      <c r="AT89" s="363">
        <f t="shared" si="18"/>
        <v>1</v>
      </c>
      <c r="AU89" s="363">
        <f t="shared" si="23"/>
        <v>0</v>
      </c>
      <c r="AV89" s="363">
        <f t="shared" si="24"/>
        <v>0</v>
      </c>
      <c r="AW89" s="456">
        <v>0</v>
      </c>
      <c r="AX89" s="456">
        <v>0</v>
      </c>
      <c r="AY89" s="456">
        <v>0</v>
      </c>
      <c r="AZ89" s="456">
        <v>0</v>
      </c>
      <c r="BA89" s="456">
        <v>0</v>
      </c>
      <c r="BB89" s="456">
        <v>0</v>
      </c>
      <c r="BC89" s="456">
        <v>0</v>
      </c>
      <c r="BD89" s="456">
        <v>0</v>
      </c>
      <c r="BE89" s="456">
        <v>0</v>
      </c>
      <c r="BF89" s="456">
        <v>0</v>
      </c>
      <c r="BG89" s="456">
        <v>0</v>
      </c>
      <c r="BH89" s="456">
        <v>0</v>
      </c>
      <c r="BI89" s="476">
        <v>0</v>
      </c>
      <c r="BJ89" s="476">
        <v>0</v>
      </c>
      <c r="BK89" s="476">
        <v>0</v>
      </c>
      <c r="BL89" s="476">
        <v>0</v>
      </c>
      <c r="BM89" s="476">
        <v>0</v>
      </c>
      <c r="BN89" s="476">
        <v>0</v>
      </c>
      <c r="BO89" s="476">
        <v>0</v>
      </c>
      <c r="BP89" s="476">
        <v>0</v>
      </c>
      <c r="BQ89" s="476">
        <v>0</v>
      </c>
      <c r="BR89" s="476">
        <v>0</v>
      </c>
      <c r="BS89" s="476">
        <v>0</v>
      </c>
      <c r="BT89" s="476">
        <v>0</v>
      </c>
      <c r="BU89" s="350"/>
      <c r="BV89" s="350"/>
      <c r="BW89" s="350"/>
      <c r="BX89" s="350"/>
      <c r="BY89" s="350"/>
      <c r="BZ89" s="350"/>
      <c r="CA89" s="350"/>
      <c r="CB89" s="350"/>
      <c r="CC89" s="350"/>
      <c r="CD89" s="350"/>
      <c r="CE89" s="350"/>
      <c r="CF89" s="350"/>
      <c r="CG89" s="366"/>
      <c r="CH89" s="504">
        <f t="shared" si="20"/>
        <v>100</v>
      </c>
      <c r="CI89" s="354"/>
      <c r="CJ89" s="367">
        <v>0</v>
      </c>
      <c r="CK89" s="367">
        <v>0.59</v>
      </c>
      <c r="CL89" s="367">
        <v>0.6</v>
      </c>
      <c r="CM89" s="367">
        <v>0.94</v>
      </c>
      <c r="CN89" s="367">
        <v>0.95</v>
      </c>
      <c r="CO89" s="367">
        <v>1</v>
      </c>
      <c r="CP89" s="362"/>
      <c r="CQ89" s="368" t="str">
        <f t="shared" si="16"/>
        <v>OPERATIVO</v>
      </c>
      <c r="CR89" s="369">
        <f t="shared" si="17"/>
        <v>0</v>
      </c>
      <c r="CS89" s="370">
        <f>IFERROR(SUM($BI89:BI89)/SUM($AW89:AW89),0)</f>
        <v>0</v>
      </c>
      <c r="CT89" s="370">
        <f>IFERROR(SUM($BI89:BJ89)/SUM($AW89:AX89),0)</f>
        <v>0</v>
      </c>
      <c r="CU89" s="370">
        <f>IFERROR(SUM($BI89:BK89)/SUM($AW89:AY89),0)</f>
        <v>0</v>
      </c>
      <c r="CV89" s="370">
        <f>IFERROR(SUM($BI89:BL89)/SUM($AW89:AZ89),0)</f>
        <v>0</v>
      </c>
      <c r="CW89" s="370">
        <f>IFERROR(SUM($BI89:BM89)/SUM($AW89:BA89),0)</f>
        <v>0</v>
      </c>
      <c r="CX89" s="370">
        <f>IFERROR(SUM($BI89:BN89)/SUM($AW89:BB89),0)</f>
        <v>0</v>
      </c>
      <c r="CY89" s="370">
        <f>IFERROR(SUM($BI89:BO89)/SUM($AW89:BC89),0)</f>
        <v>0</v>
      </c>
      <c r="CZ89" s="370">
        <f>IFERROR(SUM($BI89:BP89)/SUM($AW89:BD89),0)</f>
        <v>0</v>
      </c>
      <c r="DA89" s="370">
        <f>IFERROR(SUM($BI89:BQ89)/SUM($AW89:BE89),0)</f>
        <v>0</v>
      </c>
      <c r="DB89" s="370">
        <f>IFERROR(SUM($BI89:BR89)/SUM($AW89:BF89),0)</f>
        <v>0</v>
      </c>
      <c r="DC89" s="370">
        <f>IFERROR(SUM($BI89:BS89)/SUM($AW89:BG89),0)</f>
        <v>0</v>
      </c>
      <c r="DD89" s="370">
        <f>IFERROR(SUM($BI89:BT89)/SUM($AW89:BH89),0)</f>
        <v>0</v>
      </c>
      <c r="DE89" s="405" t="str">
        <f t="shared" si="19"/>
        <v>0</v>
      </c>
      <c r="DF89" s="406" t="str">
        <f>IFERROR(SUM($BI89:BJ89)/SUM($AW89:AX89),"0")</f>
        <v>0</v>
      </c>
      <c r="DG89" s="407" t="str">
        <f>IFERROR(SUM($BI89:BK89)/SUM($AW89:AY89),"0")</f>
        <v>0</v>
      </c>
      <c r="DH89" s="407" t="str">
        <f>IFERROR(SUM($BI89:BL89)/SUM($AW89:AZ89),"0")</f>
        <v>0</v>
      </c>
      <c r="DI89" s="407" t="str">
        <f>IFERROR(SUM($BI89:BM89)/SUM($AW89:BA89),"0")</f>
        <v>0</v>
      </c>
      <c r="DJ89" s="407" t="str">
        <f>IFERROR(SUM($BI89:BN89)/SUM($AW89:BB89),"0")</f>
        <v>0</v>
      </c>
      <c r="DK89" s="407" t="str">
        <f>IFERROR(SUM($BI89:BO89)/SUM($AW89:BC89),"0")</f>
        <v>0</v>
      </c>
      <c r="DL89" s="407" t="str">
        <f>IFERROR(SUM($BI89:BP89)/SUM($AW89:BD89),"0")</f>
        <v>0</v>
      </c>
      <c r="DM89" s="407" t="str">
        <f>IFERROR(SUM($BI89:BQ89)/SUM($AW89:BE89),"0")</f>
        <v>0</v>
      </c>
      <c r="DN89" s="407" t="str">
        <f>IFERROR(SUM($BI89:BR89)/SUM($AW89:BF89),"0")</f>
        <v>0</v>
      </c>
      <c r="DO89" s="407" t="str">
        <f>IFERROR(SUM($BI89:BS89)/SUM($AW89:BG89),"0")</f>
        <v>0</v>
      </c>
      <c r="DP89" s="408" t="str">
        <f>IFERROR(SUM($BI89:BT89)/SUM($AW89:BH89),"0")</f>
        <v>0</v>
      </c>
    </row>
    <row r="90" spans="1:120" s="399" customFormat="1" ht="39" customHeight="1" x14ac:dyDescent="0.25">
      <c r="A90" s="488" t="s">
        <v>791</v>
      </c>
      <c r="B90" s="347" t="s">
        <v>703</v>
      </c>
      <c r="C90" s="354" t="s">
        <v>792</v>
      </c>
      <c r="D90" s="347" t="s">
        <v>470</v>
      </c>
      <c r="E90" s="348" t="s">
        <v>443</v>
      </c>
      <c r="F90" s="349" t="s">
        <v>793</v>
      </c>
      <c r="G90" s="347" t="s">
        <v>703</v>
      </c>
      <c r="H90" s="350" t="s">
        <v>794</v>
      </c>
      <c r="I90" s="479" t="s">
        <v>357</v>
      </c>
      <c r="J90" s="354" t="s">
        <v>765</v>
      </c>
      <c r="K90" s="347" t="s">
        <v>897</v>
      </c>
      <c r="L90" s="350" t="s">
        <v>448</v>
      </c>
      <c r="M90" s="350" t="s">
        <v>406</v>
      </c>
      <c r="N90" s="350"/>
      <c r="O90" s="350"/>
      <c r="P90" s="350" t="s">
        <v>795</v>
      </c>
      <c r="Q90" s="350" t="s">
        <v>778</v>
      </c>
      <c r="R90" s="350" t="s">
        <v>796</v>
      </c>
      <c r="S90" s="350" t="s">
        <v>780</v>
      </c>
      <c r="T90" s="350" t="s">
        <v>797</v>
      </c>
      <c r="U90" s="350" t="s">
        <v>782</v>
      </c>
      <c r="V90" s="350" t="s">
        <v>783</v>
      </c>
      <c r="W90" s="350" t="s">
        <v>784</v>
      </c>
      <c r="X90" s="450" t="s">
        <v>399</v>
      </c>
      <c r="Y90" s="350" t="s">
        <v>399</v>
      </c>
      <c r="Z90" s="353" t="s">
        <v>193</v>
      </c>
      <c r="AA90" s="350" t="s">
        <v>456</v>
      </c>
      <c r="AB90" s="354" t="s">
        <v>217</v>
      </c>
      <c r="AC90" s="350" t="s">
        <v>714</v>
      </c>
      <c r="AD90" s="350" t="s">
        <v>715</v>
      </c>
      <c r="AE90" s="350" t="s">
        <v>716</v>
      </c>
      <c r="AF90" s="350">
        <v>0</v>
      </c>
      <c r="AG90" s="365">
        <v>0</v>
      </c>
      <c r="AH90" s="451">
        <v>100</v>
      </c>
      <c r="AI90" s="452">
        <v>100</v>
      </c>
      <c r="AJ90" s="365">
        <v>100</v>
      </c>
      <c r="AK90" s="365">
        <v>100</v>
      </c>
      <c r="AL90" s="365">
        <v>0</v>
      </c>
      <c r="AM90" s="360">
        <v>0</v>
      </c>
      <c r="AN90" s="453">
        <v>100</v>
      </c>
      <c r="AO90" s="460">
        <v>100</v>
      </c>
      <c r="AP90" s="362">
        <v>0</v>
      </c>
      <c r="AQ90" s="362">
        <v>0</v>
      </c>
      <c r="AR90" s="363" t="str">
        <f t="shared" si="21"/>
        <v>0</v>
      </c>
      <c r="AS90" s="363" t="str">
        <f t="shared" si="22"/>
        <v>0</v>
      </c>
      <c r="AT90" s="363">
        <f t="shared" si="18"/>
        <v>1</v>
      </c>
      <c r="AU90" s="363">
        <f t="shared" si="23"/>
        <v>0</v>
      </c>
      <c r="AV90" s="363">
        <f t="shared" si="24"/>
        <v>0</v>
      </c>
      <c r="AW90" s="456">
        <v>0</v>
      </c>
      <c r="AX90" s="456">
        <v>0</v>
      </c>
      <c r="AY90" s="456">
        <v>0</v>
      </c>
      <c r="AZ90" s="456">
        <v>0</v>
      </c>
      <c r="BA90" s="456">
        <v>0</v>
      </c>
      <c r="BB90" s="456">
        <v>0</v>
      </c>
      <c r="BC90" s="456">
        <v>0</v>
      </c>
      <c r="BD90" s="456">
        <v>0</v>
      </c>
      <c r="BE90" s="456">
        <v>0</v>
      </c>
      <c r="BF90" s="456">
        <v>0</v>
      </c>
      <c r="BG90" s="456">
        <v>0</v>
      </c>
      <c r="BH90" s="456">
        <v>0</v>
      </c>
      <c r="BI90" s="480">
        <v>0</v>
      </c>
      <c r="BJ90" s="480">
        <v>0</v>
      </c>
      <c r="BK90" s="480">
        <v>0</v>
      </c>
      <c r="BL90" s="480">
        <v>0</v>
      </c>
      <c r="BM90" s="480">
        <v>0</v>
      </c>
      <c r="BN90" s="480">
        <v>0</v>
      </c>
      <c r="BO90" s="480">
        <v>0</v>
      </c>
      <c r="BP90" s="480">
        <v>0</v>
      </c>
      <c r="BQ90" s="480">
        <v>0</v>
      </c>
      <c r="BR90" s="480">
        <v>0</v>
      </c>
      <c r="BS90" s="480">
        <v>0</v>
      </c>
      <c r="BT90" s="480">
        <v>0</v>
      </c>
      <c r="BU90" s="350"/>
      <c r="BV90" s="350"/>
      <c r="BW90" s="350"/>
      <c r="BX90" s="350"/>
      <c r="BY90" s="350"/>
      <c r="BZ90" s="350"/>
      <c r="CA90" s="350"/>
      <c r="CB90" s="350"/>
      <c r="CC90" s="350"/>
      <c r="CD90" s="350"/>
      <c r="CE90" s="350"/>
      <c r="CF90" s="350"/>
      <c r="CG90" s="366"/>
      <c r="CH90" s="504">
        <f t="shared" si="20"/>
        <v>100</v>
      </c>
      <c r="CI90" s="354"/>
      <c r="CJ90" s="367">
        <v>0</v>
      </c>
      <c r="CK90" s="367">
        <v>0.49</v>
      </c>
      <c r="CL90" s="367">
        <v>0.5</v>
      </c>
      <c r="CM90" s="367">
        <v>0.74</v>
      </c>
      <c r="CN90" s="367">
        <v>0.75</v>
      </c>
      <c r="CO90" s="367">
        <v>1</v>
      </c>
      <c r="CP90" s="481"/>
      <c r="CQ90" s="368" t="str">
        <f t="shared" si="16"/>
        <v>OPERATIVO</v>
      </c>
      <c r="CR90" s="369">
        <f t="shared" si="17"/>
        <v>0</v>
      </c>
      <c r="CS90" s="370">
        <f>IFERROR(SUM($BI90:BI90)/SUM($AW90:AW90),0)</f>
        <v>0</v>
      </c>
      <c r="CT90" s="370">
        <f>IFERROR(SUM($BI90:BJ90)/SUM($AW90:AX90),0)</f>
        <v>0</v>
      </c>
      <c r="CU90" s="370">
        <f>IFERROR(SUM($BI90:BK90)/SUM($AW90:AY90),0)</f>
        <v>0</v>
      </c>
      <c r="CV90" s="370">
        <f>IFERROR(SUM($BI90:BL90)/SUM($AW90:AZ90),0)</f>
        <v>0</v>
      </c>
      <c r="CW90" s="370">
        <f>IFERROR(SUM($BI90:BM90)/SUM($AW90:BA90),0)</f>
        <v>0</v>
      </c>
      <c r="CX90" s="370">
        <f>IFERROR(SUM($BI90:BN90)/SUM($AW90:BB90),0)</f>
        <v>0</v>
      </c>
      <c r="CY90" s="370">
        <f>IFERROR(SUM($BI90:BO90)/SUM($AW90:BC90),0)</f>
        <v>0</v>
      </c>
      <c r="CZ90" s="370">
        <f>IFERROR(SUM($BI90:BP90)/SUM($AW90:BD90),0)</f>
        <v>0</v>
      </c>
      <c r="DA90" s="370">
        <f>IFERROR(SUM($BI90:BQ90)/SUM($AW90:BE90),0)</f>
        <v>0</v>
      </c>
      <c r="DB90" s="370">
        <f>IFERROR(SUM($BI90:BR90)/SUM($AW90:BF90),0)</f>
        <v>0</v>
      </c>
      <c r="DC90" s="370">
        <f>IFERROR(SUM($BI90:BS90)/SUM($AW90:BG90),0)</f>
        <v>0</v>
      </c>
      <c r="DD90" s="370">
        <f>IFERROR(SUM($BI90:BT90)/SUM($AW90:BH90),0)</f>
        <v>0</v>
      </c>
      <c r="DE90" s="405" t="str">
        <f t="shared" si="19"/>
        <v>0</v>
      </c>
      <c r="DF90" s="406" t="str">
        <f>IFERROR(SUM($BI90:BJ90)/SUM($AW90:AX90),"0")</f>
        <v>0</v>
      </c>
      <c r="DG90" s="407" t="str">
        <f>IFERROR(SUM($BI90:BK90)/SUM($AW90:AY90),"0")</f>
        <v>0</v>
      </c>
      <c r="DH90" s="407" t="str">
        <f>IFERROR(SUM($BI90:BL90)/SUM($AW90:AZ90),"0")</f>
        <v>0</v>
      </c>
      <c r="DI90" s="407" t="str">
        <f>IFERROR(SUM($BI90:BM90)/SUM($AW90:BA90),"0")</f>
        <v>0</v>
      </c>
      <c r="DJ90" s="407" t="str">
        <f>IFERROR(SUM($BI90:BN90)/SUM($AW90:BB90),"0")</f>
        <v>0</v>
      </c>
      <c r="DK90" s="407" t="str">
        <f>IFERROR(SUM($BI90:BO90)/SUM($AW90:BC90),"0")</f>
        <v>0</v>
      </c>
      <c r="DL90" s="407" t="str">
        <f>IFERROR(SUM($BI90:BP90)/SUM($AW90:BD90),"0")</f>
        <v>0</v>
      </c>
      <c r="DM90" s="407" t="str">
        <f>IFERROR(SUM($BI90:BQ90)/SUM($AW90:BE90),"0")</f>
        <v>0</v>
      </c>
      <c r="DN90" s="407" t="str">
        <f>IFERROR(SUM($BI90:BR90)/SUM($AW90:BF90),"0")</f>
        <v>0</v>
      </c>
      <c r="DO90" s="407" t="str">
        <f>IFERROR(SUM($BI90:BS90)/SUM($AW90:BG90),"0")</f>
        <v>0</v>
      </c>
      <c r="DP90" s="408" t="str">
        <f>IFERROR(SUM($BI90:BT90)/SUM($AW90:BH90),"0")</f>
        <v>0</v>
      </c>
    </row>
    <row r="91" spans="1:120" s="375" customFormat="1" ht="39" customHeight="1" x14ac:dyDescent="0.25">
      <c r="A91" s="488" t="s">
        <v>1268</v>
      </c>
      <c r="B91" s="347" t="s">
        <v>386</v>
      </c>
      <c r="C91" s="347" t="s">
        <v>513</v>
      </c>
      <c r="D91" s="347" t="s">
        <v>319</v>
      </c>
      <c r="E91" s="348" t="s">
        <v>443</v>
      </c>
      <c r="F91" s="484" t="s">
        <v>514</v>
      </c>
      <c r="G91" s="347" t="s">
        <v>386</v>
      </c>
      <c r="H91" s="354" t="s">
        <v>515</v>
      </c>
      <c r="I91" s="350" t="s">
        <v>390</v>
      </c>
      <c r="J91" s="354" t="s">
        <v>391</v>
      </c>
      <c r="K91" s="347" t="s">
        <v>897</v>
      </c>
      <c r="L91" s="354" t="s">
        <v>448</v>
      </c>
      <c r="M91" s="354" t="s">
        <v>406</v>
      </c>
      <c r="N91" s="354"/>
      <c r="O91" s="354"/>
      <c r="P91" s="354" t="s">
        <v>516</v>
      </c>
      <c r="Q91" s="354" t="s">
        <v>208</v>
      </c>
      <c r="R91" s="354" t="s">
        <v>517</v>
      </c>
      <c r="S91" s="354" t="s">
        <v>518</v>
      </c>
      <c r="T91" s="354" t="s">
        <v>519</v>
      </c>
      <c r="U91" s="354" t="s">
        <v>520</v>
      </c>
      <c r="V91" s="354" t="s">
        <v>521</v>
      </c>
      <c r="W91" s="354" t="s">
        <v>522</v>
      </c>
      <c r="X91" s="354" t="s">
        <v>274</v>
      </c>
      <c r="Y91" s="354" t="s">
        <v>274</v>
      </c>
      <c r="Z91" s="353" t="s">
        <v>193</v>
      </c>
      <c r="AA91" s="354" t="s">
        <v>456</v>
      </c>
      <c r="AB91" s="354" t="s">
        <v>217</v>
      </c>
      <c r="AC91" s="354" t="s">
        <v>197</v>
      </c>
      <c r="AD91" s="354" t="s">
        <v>197</v>
      </c>
      <c r="AE91" s="354" t="s">
        <v>401</v>
      </c>
      <c r="AF91" s="350">
        <v>0</v>
      </c>
      <c r="AG91" s="362">
        <v>100</v>
      </c>
      <c r="AH91" s="457">
        <v>100</v>
      </c>
      <c r="AI91" s="452">
        <v>100</v>
      </c>
      <c r="AJ91" s="362">
        <v>100</v>
      </c>
      <c r="AK91" s="362">
        <v>100</v>
      </c>
      <c r="AL91" s="350">
        <v>0</v>
      </c>
      <c r="AM91" s="360">
        <v>100</v>
      </c>
      <c r="AN91" s="457">
        <v>100</v>
      </c>
      <c r="AO91" s="460">
        <v>100</v>
      </c>
      <c r="AP91" s="362">
        <v>0</v>
      </c>
      <c r="AQ91" s="362">
        <v>0</v>
      </c>
      <c r="AR91" s="391" t="str">
        <f>IFERROR(AL91/AF91,"0")</f>
        <v>0</v>
      </c>
      <c r="AS91" s="391">
        <f>IFERROR(AM91/AG91,"0")</f>
        <v>1</v>
      </c>
      <c r="AT91" s="391">
        <f>IFERROR(AO91/AI91,"0")</f>
        <v>1</v>
      </c>
      <c r="AU91" s="391">
        <f>IFERROR(AP91/AJ91,"0")</f>
        <v>0</v>
      </c>
      <c r="AV91" s="391">
        <f>IFERROR(AQ91/AK91,"0")</f>
        <v>0</v>
      </c>
      <c r="AW91" s="456">
        <v>0</v>
      </c>
      <c r="AX91" s="456">
        <v>0</v>
      </c>
      <c r="AY91" s="456">
        <v>100</v>
      </c>
      <c r="AZ91" s="456">
        <v>0</v>
      </c>
      <c r="BA91" s="456">
        <v>0</v>
      </c>
      <c r="BB91" s="456">
        <v>100</v>
      </c>
      <c r="BC91" s="456">
        <v>0</v>
      </c>
      <c r="BD91" s="456">
        <v>0</v>
      </c>
      <c r="BE91" s="456">
        <v>100</v>
      </c>
      <c r="BF91" s="456">
        <v>0</v>
      </c>
      <c r="BG91" s="456">
        <v>0</v>
      </c>
      <c r="BH91" s="456">
        <v>100</v>
      </c>
      <c r="BI91" s="476">
        <v>0</v>
      </c>
      <c r="BJ91" s="476">
        <v>0</v>
      </c>
      <c r="BK91" s="476">
        <v>0</v>
      </c>
      <c r="BL91" s="476">
        <v>0</v>
      </c>
      <c r="BM91" s="476">
        <v>0</v>
      </c>
      <c r="BN91" s="476">
        <v>0</v>
      </c>
      <c r="BO91" s="476">
        <v>0</v>
      </c>
      <c r="BP91" s="476">
        <v>0</v>
      </c>
      <c r="BQ91" s="476">
        <v>0</v>
      </c>
      <c r="BR91" s="476">
        <v>0</v>
      </c>
      <c r="BS91" s="476">
        <v>0</v>
      </c>
      <c r="BT91" s="476">
        <v>0</v>
      </c>
      <c r="BU91" s="350"/>
      <c r="BV91" s="350"/>
      <c r="BW91" s="350"/>
      <c r="BX91" s="350"/>
      <c r="BY91" s="350"/>
      <c r="BZ91" s="350"/>
      <c r="CA91" s="350"/>
      <c r="CB91" s="350"/>
      <c r="CC91" s="350"/>
      <c r="CD91" s="350"/>
      <c r="CE91" s="350"/>
      <c r="CF91" s="350"/>
      <c r="CG91" s="485"/>
      <c r="CH91" s="504">
        <f t="shared" si="20"/>
        <v>100</v>
      </c>
      <c r="CI91" s="486"/>
      <c r="CJ91" s="486"/>
      <c r="CK91" s="486"/>
      <c r="CL91" s="486"/>
      <c r="CM91" s="486"/>
      <c r="CN91" s="486"/>
      <c r="CO91" s="486"/>
      <c r="CP91" s="404"/>
      <c r="CQ91" s="207" t="str">
        <f>D91</f>
        <v>TÁCTICO</v>
      </c>
      <c r="CR91" s="397">
        <f>IFERROR(SUM(BI91:BT91)/SUM(AW91:BH91),0)</f>
        <v>0</v>
      </c>
      <c r="CS91" s="398">
        <f>IFERROR(SUM($BI91:BI91)/SUM($AW91:AW91),0)</f>
        <v>0</v>
      </c>
      <c r="CT91" s="398">
        <f>IFERROR(SUM($BI91:BJ91)/SUM($AW91:AX91),0)</f>
        <v>0</v>
      </c>
      <c r="CU91" s="398">
        <f>IFERROR(SUM($BI91:BK91)/SUM($AW91:AY91),0)</f>
        <v>0</v>
      </c>
      <c r="CV91" s="398">
        <f>IFERROR(SUM($BI91:BL91)/SUM($AW91:AZ91),0)</f>
        <v>0</v>
      </c>
      <c r="CW91" s="398">
        <f>IFERROR(SUM($BI91:BM91)/SUM($AW91:BA91),0)</f>
        <v>0</v>
      </c>
      <c r="CX91" s="398">
        <f>IFERROR(SUM($BI91:BN91)/SUM($AW91:BB91),0)</f>
        <v>0</v>
      </c>
      <c r="CY91" s="398">
        <f>IFERROR(SUM($BI91:BO91)/SUM($AW91:BC91),0)</f>
        <v>0</v>
      </c>
      <c r="CZ91" s="398">
        <f>IFERROR(SUM($BI91:BP91)/SUM($AW91:BD91),0)</f>
        <v>0</v>
      </c>
      <c r="DA91" s="398">
        <f>IFERROR(SUM($BI91:BQ91)/SUM($AW91:BE91),0)</f>
        <v>0</v>
      </c>
      <c r="DB91" s="398">
        <f>IFERROR(SUM($BI91:BR91)/SUM($AW91:BF91),0)</f>
        <v>0</v>
      </c>
      <c r="DC91" s="398">
        <f>IFERROR(SUM($BI91:BS91)/SUM($AW91:BG91),0)</f>
        <v>0</v>
      </c>
      <c r="DD91" s="398">
        <f>IFERROR(SUM($BI91:BT91)/SUM($AW91:BH91),0)</f>
        <v>0</v>
      </c>
      <c r="DE91" s="371" t="str">
        <f>IFERROR(SUM(BI91)/SUM(AW91),"0")</f>
        <v>0</v>
      </c>
      <c r="DF91" s="372" t="str">
        <f>IFERROR(SUM($BI91:BJ91)/SUM($AW91:AX91),"0")</f>
        <v>0</v>
      </c>
      <c r="DG91" s="373">
        <f>IFERROR(SUM($BI91:BK91)/SUM($AW91:AY91),"0")</f>
        <v>0</v>
      </c>
      <c r="DH91" s="373">
        <f>IFERROR(SUM($BI91:BL91)/SUM($AW91:AZ91),"0")</f>
        <v>0</v>
      </c>
      <c r="DI91" s="373">
        <f>IFERROR(SUM($BI91:BM91)/SUM($AW91:BA91),"0")</f>
        <v>0</v>
      </c>
      <c r="DJ91" s="373">
        <f>IFERROR(SUM($BI91:BN91)/SUM($AW91:BB91),"0")</f>
        <v>0</v>
      </c>
      <c r="DK91" s="373">
        <f>IFERROR(SUM($BI91:BO91)/SUM($AW91:BC91),"0")</f>
        <v>0</v>
      </c>
      <c r="DL91" s="373">
        <f>IFERROR(SUM($BI91:BP91)/SUM($AW91:BD91),"0")</f>
        <v>0</v>
      </c>
      <c r="DM91" s="373">
        <f>IFERROR(SUM($BI91:BQ91)/SUM($AW91:BE91),"0")</f>
        <v>0</v>
      </c>
      <c r="DN91" s="373">
        <f>IFERROR(SUM($BI91:BR91)/SUM($AW91:BF91),"0")</f>
        <v>0</v>
      </c>
      <c r="DO91" s="373">
        <f>IFERROR(SUM($BI91:BS91)/SUM($AW91:BG91),"0")</f>
        <v>0</v>
      </c>
      <c r="DP91" s="374">
        <f>IFERROR(SUM($BI91:BT91)/SUM($AW91:BH91),"0")</f>
        <v>0</v>
      </c>
    </row>
    <row r="92" spans="1:120" ht="39" customHeight="1" x14ac:dyDescent="0.3">
      <c r="B92" s="97"/>
      <c r="C92" s="98"/>
      <c r="D92" s="97"/>
      <c r="E92" s="99"/>
      <c r="F92" s="99" t="s">
        <v>377</v>
      </c>
      <c r="G92" s="97"/>
      <c r="H92" s="100" t="s">
        <v>377</v>
      </c>
      <c r="I92" s="101"/>
      <c r="J92" s="99"/>
      <c r="K92" s="102"/>
      <c r="L92" s="103"/>
      <c r="M92" s="103"/>
      <c r="N92" s="103"/>
      <c r="O92" s="103"/>
      <c r="P92" s="99" t="s">
        <v>377</v>
      </c>
      <c r="Q92" s="99" t="s">
        <v>377</v>
      </c>
      <c r="R92" s="99" t="s">
        <v>377</v>
      </c>
      <c r="S92" s="99" t="s">
        <v>377</v>
      </c>
      <c r="T92" s="99" t="s">
        <v>377</v>
      </c>
      <c r="U92" s="99" t="s">
        <v>377</v>
      </c>
      <c r="V92" s="99" t="s">
        <v>377</v>
      </c>
      <c r="W92" s="99" t="s">
        <v>377</v>
      </c>
      <c r="X92" s="99" t="s">
        <v>377</v>
      </c>
      <c r="Y92" s="99" t="s">
        <v>377</v>
      </c>
      <c r="Z92" s="99" t="s">
        <v>377</v>
      </c>
      <c r="AA92" s="99" t="s">
        <v>377</v>
      </c>
      <c r="AB92" s="99" t="s">
        <v>377</v>
      </c>
      <c r="AC92" s="99" t="s">
        <v>377</v>
      </c>
      <c r="AD92" s="104" t="s">
        <v>377</v>
      </c>
      <c r="AE92" s="103" t="s">
        <v>377</v>
      </c>
      <c r="AF92" s="103"/>
      <c r="AG92" s="105"/>
      <c r="AH92" s="105"/>
      <c r="AI92" s="105"/>
      <c r="AJ92" s="105"/>
      <c r="AK92" s="105"/>
      <c r="AL92" s="105"/>
      <c r="AM92" s="106"/>
      <c r="AN92" s="288"/>
      <c r="AO92" s="105"/>
      <c r="AP92" s="105"/>
      <c r="AQ92" s="105"/>
      <c r="AR92" s="123" t="str">
        <f t="shared" si="21"/>
        <v>0</v>
      </c>
      <c r="AS92" s="123" t="str">
        <f t="shared" si="22"/>
        <v>0</v>
      </c>
      <c r="AT92" s="123" t="str">
        <f t="shared" si="18"/>
        <v>0</v>
      </c>
      <c r="AU92" s="123" t="str">
        <f t="shared" si="23"/>
        <v>0</v>
      </c>
      <c r="AV92" s="123" t="str">
        <f t="shared" si="24"/>
        <v>0</v>
      </c>
      <c r="AW92" s="105"/>
      <c r="AX92" s="105"/>
      <c r="AY92" s="105"/>
      <c r="AZ92" s="105"/>
      <c r="BA92" s="105"/>
      <c r="BB92" s="105"/>
      <c r="BC92" s="105"/>
      <c r="BD92" s="105"/>
      <c r="BE92" s="105"/>
      <c r="BF92" s="105"/>
      <c r="BG92" s="105"/>
      <c r="BH92" s="105"/>
      <c r="BI92" s="105"/>
      <c r="BJ92" s="105"/>
      <c r="BK92" s="105"/>
      <c r="BL92" s="105"/>
      <c r="BM92" s="105"/>
      <c r="BN92" s="105"/>
      <c r="BO92" s="105"/>
      <c r="BP92" s="105"/>
      <c r="BQ92" s="105"/>
      <c r="BR92" s="105"/>
      <c r="BS92" s="105"/>
      <c r="BT92" s="105"/>
      <c r="BU92" s="99"/>
      <c r="BV92" s="99"/>
      <c r="BW92" s="99"/>
      <c r="BX92" s="99"/>
      <c r="BY92" s="99"/>
      <c r="BZ92" s="99"/>
      <c r="CA92" s="99"/>
      <c r="CB92" s="99"/>
      <c r="CC92" s="99"/>
      <c r="CD92" s="99"/>
      <c r="CE92" s="99"/>
      <c r="CF92" s="99"/>
      <c r="CG92" s="99"/>
      <c r="CH92" s="504">
        <f t="shared" si="20"/>
        <v>0</v>
      </c>
      <c r="CI92" s="107"/>
      <c r="CJ92" s="102"/>
      <c r="CK92" s="102"/>
      <c r="CL92" s="102"/>
      <c r="CM92" s="102"/>
      <c r="CN92" s="102"/>
      <c r="CO92" s="102"/>
      <c r="CP92" s="108"/>
      <c r="CQ92" s="97"/>
      <c r="DE92" s="258" t="str">
        <f t="shared" si="19"/>
        <v>0</v>
      </c>
      <c r="DF92" s="259" t="str">
        <f>IFERROR(SUM($BI92:BJ92)/SUM($AW92:AX92),"0")</f>
        <v>0</v>
      </c>
      <c r="DG92" s="260" t="str">
        <f>IFERROR(SUM($BI92:BK92)/SUM($AW92:AY92),"0")</f>
        <v>0</v>
      </c>
      <c r="DH92" s="260" t="str">
        <f>IFERROR(SUM($BI92:BL92)/SUM($AW92:AZ92),"0")</f>
        <v>0</v>
      </c>
      <c r="DI92" s="260" t="str">
        <f>IFERROR(SUM($BI92:BM92)/SUM($AW92:BA92),"0")</f>
        <v>0</v>
      </c>
      <c r="DJ92" s="260" t="str">
        <f>IFERROR(SUM($BI92:BN92)/SUM($AW92:BB92),"0")</f>
        <v>0</v>
      </c>
      <c r="DK92" s="260" t="str">
        <f>IFERROR(SUM($BI92:BO92)/SUM($AW92:BC92),"0")</f>
        <v>0</v>
      </c>
      <c r="DL92" s="260" t="str">
        <f>IFERROR(SUM($BI92:BP92)/SUM($AW92:BD92),"0")</f>
        <v>0</v>
      </c>
      <c r="DM92" s="260" t="str">
        <f>IFERROR(SUM($BI92:BQ92)/SUM($AW92:BE92),"0")</f>
        <v>0</v>
      </c>
      <c r="DN92" s="260" t="str">
        <f>IFERROR(SUM($BI92:BR92)/SUM($AW92:BF92),"0")</f>
        <v>0</v>
      </c>
      <c r="DO92" s="260" t="str">
        <f>IFERROR(SUM($BI92:BS92)/SUM($AW92:BG92),"0")</f>
        <v>0</v>
      </c>
      <c r="DP92" s="261" t="str">
        <f>IFERROR(SUM($BI92:BT92)/SUM($AW92:BH92),"0")</f>
        <v>0</v>
      </c>
    </row>
    <row r="93" spans="1:120" ht="39" customHeight="1" x14ac:dyDescent="0.3">
      <c r="B93" s="97"/>
      <c r="C93" s="98"/>
      <c r="D93" s="97"/>
      <c r="E93" s="99"/>
      <c r="F93" s="99" t="s">
        <v>377</v>
      </c>
      <c r="G93" s="97"/>
      <c r="H93" s="100" t="s">
        <v>377</v>
      </c>
      <c r="I93" s="101"/>
      <c r="J93" s="99"/>
      <c r="K93" s="102"/>
      <c r="L93" s="103"/>
      <c r="M93" s="103"/>
      <c r="N93" s="103"/>
      <c r="O93" s="103"/>
      <c r="P93" s="99" t="s">
        <v>377</v>
      </c>
      <c r="Q93" s="99" t="s">
        <v>377</v>
      </c>
      <c r="R93" s="99" t="s">
        <v>377</v>
      </c>
      <c r="S93" s="99" t="s">
        <v>377</v>
      </c>
      <c r="T93" s="99" t="s">
        <v>377</v>
      </c>
      <c r="U93" s="99" t="s">
        <v>377</v>
      </c>
      <c r="V93" s="99" t="s">
        <v>377</v>
      </c>
      <c r="W93" s="99" t="s">
        <v>377</v>
      </c>
      <c r="X93" s="99" t="s">
        <v>377</v>
      </c>
      <c r="Y93" s="99" t="s">
        <v>377</v>
      </c>
      <c r="Z93" s="99" t="s">
        <v>377</v>
      </c>
      <c r="AA93" s="99" t="s">
        <v>377</v>
      </c>
      <c r="AB93" s="99" t="s">
        <v>377</v>
      </c>
      <c r="AC93" s="99" t="s">
        <v>377</v>
      </c>
      <c r="AD93" s="104" t="s">
        <v>377</v>
      </c>
      <c r="AE93" s="103" t="s">
        <v>377</v>
      </c>
      <c r="AF93" s="103"/>
      <c r="AG93" s="105"/>
      <c r="AH93" s="105"/>
      <c r="AI93" s="105"/>
      <c r="AJ93" s="105"/>
      <c r="AK93" s="105"/>
      <c r="AL93" s="105"/>
      <c r="AM93" s="106"/>
      <c r="AN93" s="288"/>
      <c r="AO93" s="105"/>
      <c r="AP93" s="105"/>
      <c r="AQ93" s="105"/>
      <c r="AR93" s="123" t="str">
        <f t="shared" si="21"/>
        <v>0</v>
      </c>
      <c r="AS93" s="123" t="str">
        <f t="shared" si="22"/>
        <v>0</v>
      </c>
      <c r="AT93" s="123" t="str">
        <f t="shared" si="18"/>
        <v>0</v>
      </c>
      <c r="AU93" s="123" t="str">
        <f t="shared" si="23"/>
        <v>0</v>
      </c>
      <c r="AV93" s="123" t="str">
        <f t="shared" si="24"/>
        <v>0</v>
      </c>
      <c r="AW93" s="105"/>
      <c r="AX93" s="105"/>
      <c r="AY93" s="105"/>
      <c r="AZ93" s="105"/>
      <c r="BA93" s="105"/>
      <c r="BB93" s="105"/>
      <c r="BC93" s="105"/>
      <c r="BD93" s="105"/>
      <c r="BE93" s="105"/>
      <c r="BF93" s="105"/>
      <c r="BG93" s="105"/>
      <c r="BH93" s="105"/>
      <c r="BI93" s="105"/>
      <c r="BJ93" s="105"/>
      <c r="BK93" s="105"/>
      <c r="BL93" s="105"/>
      <c r="BM93" s="105"/>
      <c r="BN93" s="105"/>
      <c r="BO93" s="105"/>
      <c r="BP93" s="105"/>
      <c r="BQ93" s="105"/>
      <c r="BR93" s="105"/>
      <c r="BS93" s="105"/>
      <c r="BT93" s="105"/>
      <c r="BU93" s="99"/>
      <c r="BV93" s="99"/>
      <c r="BW93" s="99"/>
      <c r="BX93" s="99"/>
      <c r="BY93" s="99"/>
      <c r="BZ93" s="99"/>
      <c r="CA93" s="99"/>
      <c r="CB93" s="99"/>
      <c r="CC93" s="99"/>
      <c r="CD93" s="99"/>
      <c r="CE93" s="99"/>
      <c r="CF93" s="99"/>
      <c r="CG93" s="99"/>
      <c r="CH93" s="504">
        <f t="shared" si="20"/>
        <v>0</v>
      </c>
      <c r="CI93" s="107"/>
      <c r="CJ93" s="102"/>
      <c r="CK93" s="102"/>
      <c r="CL93" s="102"/>
      <c r="CM93" s="102"/>
      <c r="CN93" s="102"/>
      <c r="CO93" s="102"/>
      <c r="CP93" s="108"/>
      <c r="CQ93" s="97"/>
    </row>
    <row r="94" spans="1:120" ht="39" customHeight="1" x14ac:dyDescent="0.3">
      <c r="B94" s="97"/>
      <c r="C94" s="98"/>
      <c r="D94" s="97"/>
      <c r="E94" s="99"/>
      <c r="F94" s="99" t="s">
        <v>377</v>
      </c>
      <c r="G94" s="97"/>
      <c r="H94" s="100" t="s">
        <v>377</v>
      </c>
      <c r="I94" s="101"/>
      <c r="J94" s="99"/>
      <c r="K94" s="102"/>
      <c r="L94" s="103"/>
      <c r="M94" s="103"/>
      <c r="N94" s="103"/>
      <c r="O94" s="103"/>
      <c r="P94" s="99" t="s">
        <v>377</v>
      </c>
      <c r="Q94" s="99" t="s">
        <v>377</v>
      </c>
      <c r="R94" s="99" t="s">
        <v>377</v>
      </c>
      <c r="S94" s="99" t="s">
        <v>377</v>
      </c>
      <c r="T94" s="99" t="s">
        <v>377</v>
      </c>
      <c r="U94" s="99" t="s">
        <v>377</v>
      </c>
      <c r="V94" s="99" t="s">
        <v>377</v>
      </c>
      <c r="W94" s="99" t="s">
        <v>377</v>
      </c>
      <c r="X94" s="99" t="s">
        <v>377</v>
      </c>
      <c r="Y94" s="99" t="s">
        <v>377</v>
      </c>
      <c r="Z94" s="99" t="s">
        <v>377</v>
      </c>
      <c r="AA94" s="99" t="s">
        <v>377</v>
      </c>
      <c r="AB94" s="99" t="s">
        <v>377</v>
      </c>
      <c r="AC94" s="99" t="s">
        <v>377</v>
      </c>
      <c r="AD94" s="104" t="s">
        <v>377</v>
      </c>
      <c r="AE94" s="103" t="s">
        <v>377</v>
      </c>
      <c r="AF94" s="103"/>
      <c r="AG94" s="105"/>
      <c r="AH94" s="105"/>
      <c r="AI94" s="105"/>
      <c r="AJ94" s="105"/>
      <c r="AK94" s="105"/>
      <c r="AL94" s="105"/>
      <c r="AM94" s="106"/>
      <c r="AN94" s="288"/>
      <c r="AO94" s="105"/>
      <c r="AP94" s="105"/>
      <c r="AQ94" s="105"/>
      <c r="AR94" s="123" t="str">
        <f t="shared" si="21"/>
        <v>0</v>
      </c>
      <c r="AS94" s="123" t="str">
        <f t="shared" si="22"/>
        <v>0</v>
      </c>
      <c r="AT94" s="123" t="str">
        <f t="shared" si="18"/>
        <v>0</v>
      </c>
      <c r="AU94" s="123" t="str">
        <f t="shared" si="23"/>
        <v>0</v>
      </c>
      <c r="AV94" s="123" t="str">
        <f t="shared" si="24"/>
        <v>0</v>
      </c>
      <c r="AW94" s="105"/>
      <c r="AX94" s="105"/>
      <c r="AY94" s="105"/>
      <c r="AZ94" s="105"/>
      <c r="BA94" s="105"/>
      <c r="BB94" s="105"/>
      <c r="BC94" s="105"/>
      <c r="BD94" s="105"/>
      <c r="BE94" s="105"/>
      <c r="BF94" s="105"/>
      <c r="BG94" s="105"/>
      <c r="BH94" s="105"/>
      <c r="BI94" s="105"/>
      <c r="BJ94" s="105"/>
      <c r="BK94" s="105"/>
      <c r="BL94" s="105"/>
      <c r="BM94" s="105"/>
      <c r="BN94" s="105"/>
      <c r="BO94" s="105"/>
      <c r="BP94" s="105"/>
      <c r="BQ94" s="105"/>
      <c r="BR94" s="105"/>
      <c r="BS94" s="105"/>
      <c r="BT94" s="105"/>
      <c r="BU94" s="99"/>
      <c r="BV94" s="99"/>
      <c r="BW94" s="99"/>
      <c r="BX94" s="99"/>
      <c r="BY94" s="99"/>
      <c r="BZ94" s="99"/>
      <c r="CA94" s="99"/>
      <c r="CB94" s="99"/>
      <c r="CC94" s="99"/>
      <c r="CD94" s="99"/>
      <c r="CE94" s="99"/>
      <c r="CF94" s="99"/>
      <c r="CG94" s="99"/>
      <c r="CH94" s="504">
        <f t="shared" si="20"/>
        <v>0</v>
      </c>
      <c r="CI94" s="107"/>
      <c r="CJ94" s="102"/>
      <c r="CK94" s="102"/>
      <c r="CL94" s="102"/>
      <c r="CM94" s="102"/>
      <c r="CN94" s="102"/>
      <c r="CO94" s="102"/>
      <c r="CP94" s="108"/>
      <c r="CQ94" s="97"/>
    </row>
    <row r="95" spans="1:120" ht="39" customHeight="1" x14ac:dyDescent="0.3">
      <c r="B95" s="97"/>
      <c r="C95" s="98"/>
      <c r="D95" s="97"/>
      <c r="E95" s="99"/>
      <c r="F95" s="99" t="s">
        <v>377</v>
      </c>
      <c r="G95" s="97"/>
      <c r="H95" s="100" t="s">
        <v>377</v>
      </c>
      <c r="I95" s="101"/>
      <c r="J95" s="99"/>
      <c r="K95" s="102"/>
      <c r="L95" s="103"/>
      <c r="M95" s="103"/>
      <c r="N95" s="103"/>
      <c r="O95" s="103"/>
      <c r="P95" s="99" t="s">
        <v>377</v>
      </c>
      <c r="Q95" s="99" t="s">
        <v>377</v>
      </c>
      <c r="R95" s="99" t="s">
        <v>377</v>
      </c>
      <c r="S95" s="99" t="s">
        <v>377</v>
      </c>
      <c r="T95" s="99" t="s">
        <v>377</v>
      </c>
      <c r="U95" s="99" t="s">
        <v>377</v>
      </c>
      <c r="V95" s="99" t="s">
        <v>377</v>
      </c>
      <c r="W95" s="99" t="s">
        <v>377</v>
      </c>
      <c r="X95" s="99" t="s">
        <v>377</v>
      </c>
      <c r="Y95" s="99" t="s">
        <v>377</v>
      </c>
      <c r="Z95" s="99" t="s">
        <v>377</v>
      </c>
      <c r="AA95" s="99" t="s">
        <v>377</v>
      </c>
      <c r="AB95" s="99" t="s">
        <v>377</v>
      </c>
      <c r="AC95" s="99" t="s">
        <v>377</v>
      </c>
      <c r="AD95" s="104" t="s">
        <v>377</v>
      </c>
      <c r="AE95" s="103" t="s">
        <v>377</v>
      </c>
      <c r="AF95" s="103"/>
      <c r="AG95" s="105"/>
      <c r="AH95" s="105"/>
      <c r="AI95" s="105"/>
      <c r="AJ95" s="105"/>
      <c r="AK95" s="105"/>
      <c r="AL95" s="105"/>
      <c r="AM95" s="106"/>
      <c r="AN95" s="288"/>
      <c r="AO95" s="105"/>
      <c r="AP95" s="105"/>
      <c r="AQ95" s="105"/>
      <c r="AR95" s="123" t="str">
        <f t="shared" si="21"/>
        <v>0</v>
      </c>
      <c r="AS95" s="123" t="str">
        <f t="shared" si="22"/>
        <v>0</v>
      </c>
      <c r="AT95" s="123" t="str">
        <f t="shared" si="18"/>
        <v>0</v>
      </c>
      <c r="AU95" s="123" t="str">
        <f t="shared" si="23"/>
        <v>0</v>
      </c>
      <c r="AV95" s="123" t="str">
        <f t="shared" si="24"/>
        <v>0</v>
      </c>
      <c r="AW95" s="105"/>
      <c r="AX95" s="105"/>
      <c r="AY95" s="105"/>
      <c r="AZ95" s="105"/>
      <c r="BA95" s="105"/>
      <c r="BB95" s="105"/>
      <c r="BC95" s="105"/>
      <c r="BD95" s="105"/>
      <c r="BE95" s="105"/>
      <c r="BF95" s="105"/>
      <c r="BG95" s="105"/>
      <c r="BH95" s="105"/>
      <c r="BI95" s="105"/>
      <c r="BJ95" s="105"/>
      <c r="BK95" s="105"/>
      <c r="BL95" s="105"/>
      <c r="BM95" s="105"/>
      <c r="BN95" s="105"/>
      <c r="BO95" s="105"/>
      <c r="BP95" s="105"/>
      <c r="BQ95" s="105"/>
      <c r="BR95" s="105"/>
      <c r="BS95" s="105"/>
      <c r="BT95" s="105"/>
      <c r="BU95" s="99"/>
      <c r="BV95" s="99"/>
      <c r="BW95" s="99"/>
      <c r="BX95" s="99"/>
      <c r="BY95" s="99"/>
      <c r="BZ95" s="99"/>
      <c r="CA95" s="99"/>
      <c r="CB95" s="99"/>
      <c r="CC95" s="99"/>
      <c r="CD95" s="99"/>
      <c r="CE95" s="99"/>
      <c r="CF95" s="99"/>
      <c r="CG95" s="99"/>
      <c r="CH95" s="504">
        <f t="shared" si="20"/>
        <v>0</v>
      </c>
      <c r="CI95" s="107"/>
      <c r="CJ95" s="102"/>
      <c r="CK95" s="102"/>
      <c r="CL95" s="102"/>
      <c r="CM95" s="102"/>
      <c r="CN95" s="102"/>
      <c r="CO95" s="102"/>
      <c r="CP95" s="108"/>
      <c r="CQ95" s="97"/>
    </row>
    <row r="96" spans="1:120" ht="39" customHeight="1" x14ac:dyDescent="0.3">
      <c r="B96" s="97"/>
      <c r="C96" s="98"/>
      <c r="D96" s="97"/>
      <c r="E96" s="99"/>
      <c r="F96" s="99" t="s">
        <v>377</v>
      </c>
      <c r="G96" s="97"/>
      <c r="H96" s="100" t="s">
        <v>377</v>
      </c>
      <c r="I96" s="101"/>
      <c r="J96" s="99"/>
      <c r="K96" s="102"/>
      <c r="L96" s="103"/>
      <c r="M96" s="103"/>
      <c r="N96" s="103"/>
      <c r="O96" s="103"/>
      <c r="P96" s="99" t="s">
        <v>377</v>
      </c>
      <c r="Q96" s="99" t="s">
        <v>377</v>
      </c>
      <c r="R96" s="99" t="s">
        <v>377</v>
      </c>
      <c r="S96" s="99" t="s">
        <v>377</v>
      </c>
      <c r="T96" s="99" t="s">
        <v>377</v>
      </c>
      <c r="U96" s="99" t="s">
        <v>377</v>
      </c>
      <c r="V96" s="99" t="s">
        <v>377</v>
      </c>
      <c r="W96" s="99" t="s">
        <v>377</v>
      </c>
      <c r="X96" s="99" t="s">
        <v>377</v>
      </c>
      <c r="Y96" s="99" t="s">
        <v>377</v>
      </c>
      <c r="Z96" s="99" t="s">
        <v>377</v>
      </c>
      <c r="AA96" s="99" t="s">
        <v>377</v>
      </c>
      <c r="AB96" s="99" t="s">
        <v>377</v>
      </c>
      <c r="AC96" s="99" t="s">
        <v>377</v>
      </c>
      <c r="AD96" s="104" t="s">
        <v>377</v>
      </c>
      <c r="AE96" s="103" t="s">
        <v>377</v>
      </c>
      <c r="AF96" s="103"/>
      <c r="AG96" s="105"/>
      <c r="AH96" s="105"/>
      <c r="AI96" s="105"/>
      <c r="AJ96" s="105"/>
      <c r="AK96" s="105"/>
      <c r="AL96" s="105"/>
      <c r="AM96" s="106"/>
      <c r="AN96" s="288"/>
      <c r="AO96" s="105"/>
      <c r="AP96" s="105"/>
      <c r="AQ96" s="105"/>
      <c r="AR96" s="123" t="str">
        <f t="shared" si="21"/>
        <v>0</v>
      </c>
      <c r="AS96" s="123" t="str">
        <f t="shared" si="22"/>
        <v>0</v>
      </c>
      <c r="AT96" s="123" t="str">
        <f t="shared" si="18"/>
        <v>0</v>
      </c>
      <c r="AU96" s="123" t="str">
        <f t="shared" si="23"/>
        <v>0</v>
      </c>
      <c r="AV96" s="123" t="str">
        <f t="shared" si="24"/>
        <v>0</v>
      </c>
      <c r="AW96" s="105"/>
      <c r="AX96" s="105"/>
      <c r="AY96" s="105"/>
      <c r="AZ96" s="105"/>
      <c r="BA96" s="105"/>
      <c r="BB96" s="105"/>
      <c r="BC96" s="105"/>
      <c r="BD96" s="105"/>
      <c r="BE96" s="105"/>
      <c r="BF96" s="105"/>
      <c r="BG96" s="105"/>
      <c r="BH96" s="105"/>
      <c r="BI96" s="105"/>
      <c r="BJ96" s="105"/>
      <c r="BK96" s="105"/>
      <c r="BL96" s="105"/>
      <c r="BM96" s="105"/>
      <c r="BN96" s="105"/>
      <c r="BO96" s="105"/>
      <c r="BP96" s="105"/>
      <c r="BQ96" s="105"/>
      <c r="BR96" s="105"/>
      <c r="BS96" s="105"/>
      <c r="BT96" s="105"/>
      <c r="BU96" s="99"/>
      <c r="BV96" s="99"/>
      <c r="BW96" s="99"/>
      <c r="BX96" s="99"/>
      <c r="BY96" s="99"/>
      <c r="BZ96" s="99"/>
      <c r="CA96" s="99"/>
      <c r="CB96" s="99"/>
      <c r="CC96" s="99"/>
      <c r="CD96" s="99"/>
      <c r="CE96" s="99"/>
      <c r="CF96" s="99"/>
      <c r="CG96" s="99"/>
      <c r="CH96" s="504">
        <f t="shared" si="20"/>
        <v>0</v>
      </c>
      <c r="CI96" s="107"/>
      <c r="CJ96" s="102"/>
      <c r="CK96" s="102"/>
      <c r="CL96" s="102"/>
      <c r="CM96" s="102"/>
      <c r="CN96" s="102"/>
      <c r="CO96" s="102"/>
      <c r="CP96" s="108"/>
      <c r="CQ96" s="97"/>
    </row>
    <row r="97" spans="2:95" ht="39" customHeight="1" x14ac:dyDescent="0.3">
      <c r="B97" s="97"/>
      <c r="C97" s="98"/>
      <c r="D97" s="97"/>
      <c r="E97" s="99"/>
      <c r="F97" s="99" t="s">
        <v>377</v>
      </c>
      <c r="G97" s="97"/>
      <c r="H97" s="100" t="s">
        <v>377</v>
      </c>
      <c r="I97" s="101"/>
      <c r="J97" s="99"/>
      <c r="K97" s="102"/>
      <c r="L97" s="103"/>
      <c r="M97" s="103"/>
      <c r="N97" s="103"/>
      <c r="O97" s="103"/>
      <c r="P97" s="99" t="s">
        <v>377</v>
      </c>
      <c r="Q97" s="99" t="s">
        <v>377</v>
      </c>
      <c r="R97" s="99" t="s">
        <v>377</v>
      </c>
      <c r="S97" s="99" t="s">
        <v>377</v>
      </c>
      <c r="T97" s="99" t="s">
        <v>377</v>
      </c>
      <c r="U97" s="99" t="s">
        <v>377</v>
      </c>
      <c r="V97" s="99" t="s">
        <v>377</v>
      </c>
      <c r="W97" s="99" t="s">
        <v>377</v>
      </c>
      <c r="X97" s="99" t="s">
        <v>377</v>
      </c>
      <c r="Y97" s="99" t="s">
        <v>377</v>
      </c>
      <c r="Z97" s="99" t="s">
        <v>377</v>
      </c>
      <c r="AA97" s="99" t="s">
        <v>377</v>
      </c>
      <c r="AB97" s="99" t="s">
        <v>377</v>
      </c>
      <c r="AC97" s="99" t="s">
        <v>377</v>
      </c>
      <c r="AD97" s="104" t="s">
        <v>377</v>
      </c>
      <c r="AE97" s="103" t="s">
        <v>377</v>
      </c>
      <c r="AF97" s="103"/>
      <c r="AG97" s="105"/>
      <c r="AH97" s="105"/>
      <c r="AI97" s="105"/>
      <c r="AJ97" s="105"/>
      <c r="AK97" s="105"/>
      <c r="AL97" s="105"/>
      <c r="AM97" s="106"/>
      <c r="AN97" s="288"/>
      <c r="AO97" s="105"/>
      <c r="AP97" s="105"/>
      <c r="AQ97" s="105"/>
      <c r="AR97" s="123" t="str">
        <f t="shared" si="21"/>
        <v>0</v>
      </c>
      <c r="AS97" s="123" t="str">
        <f t="shared" si="22"/>
        <v>0</v>
      </c>
      <c r="AT97" s="123" t="str">
        <f t="shared" si="18"/>
        <v>0</v>
      </c>
      <c r="AU97" s="123" t="str">
        <f t="shared" si="23"/>
        <v>0</v>
      </c>
      <c r="AV97" s="123" t="str">
        <f t="shared" si="24"/>
        <v>0</v>
      </c>
      <c r="AW97" s="105"/>
      <c r="AX97" s="105"/>
      <c r="AY97" s="105"/>
      <c r="AZ97" s="105"/>
      <c r="BA97" s="105"/>
      <c r="BB97" s="105"/>
      <c r="BC97" s="105"/>
      <c r="BD97" s="105"/>
      <c r="BE97" s="105"/>
      <c r="BF97" s="105"/>
      <c r="BG97" s="105"/>
      <c r="BH97" s="105"/>
      <c r="BI97" s="105"/>
      <c r="BJ97" s="105"/>
      <c r="BK97" s="105"/>
      <c r="BL97" s="105"/>
      <c r="BM97" s="105"/>
      <c r="BN97" s="105"/>
      <c r="BO97" s="105"/>
      <c r="BP97" s="105"/>
      <c r="BQ97" s="105"/>
      <c r="BR97" s="105"/>
      <c r="BS97" s="105"/>
      <c r="BT97" s="105"/>
      <c r="BU97" s="99"/>
      <c r="BV97" s="99"/>
      <c r="BW97" s="99"/>
      <c r="BX97" s="99"/>
      <c r="BY97" s="99"/>
      <c r="BZ97" s="99"/>
      <c r="CA97" s="99"/>
      <c r="CB97" s="99"/>
      <c r="CC97" s="99"/>
      <c r="CD97" s="99"/>
      <c r="CE97" s="99"/>
      <c r="CF97" s="99"/>
      <c r="CG97" s="99"/>
      <c r="CH97" s="504">
        <f t="shared" si="20"/>
        <v>0</v>
      </c>
      <c r="CI97" s="107"/>
      <c r="CJ97" s="102"/>
      <c r="CK97" s="102"/>
      <c r="CL97" s="102"/>
      <c r="CM97" s="102"/>
      <c r="CN97" s="102"/>
      <c r="CO97" s="102"/>
      <c r="CP97" s="108"/>
      <c r="CQ97" s="97"/>
    </row>
    <row r="98" spans="2:95" ht="39" customHeight="1" x14ac:dyDescent="0.3">
      <c r="B98" s="97"/>
      <c r="C98" s="98"/>
      <c r="D98" s="97"/>
      <c r="E98" s="99"/>
      <c r="F98" s="99" t="s">
        <v>377</v>
      </c>
      <c r="G98" s="97"/>
      <c r="H98" s="100" t="s">
        <v>377</v>
      </c>
      <c r="I98" s="101"/>
      <c r="J98" s="99"/>
      <c r="K98" s="102"/>
      <c r="L98" s="103"/>
      <c r="M98" s="103"/>
      <c r="N98" s="103"/>
      <c r="O98" s="103"/>
      <c r="P98" s="99" t="s">
        <v>377</v>
      </c>
      <c r="Q98" s="99" t="s">
        <v>377</v>
      </c>
      <c r="R98" s="99" t="s">
        <v>377</v>
      </c>
      <c r="S98" s="99" t="s">
        <v>377</v>
      </c>
      <c r="T98" s="99" t="s">
        <v>377</v>
      </c>
      <c r="U98" s="99" t="s">
        <v>377</v>
      </c>
      <c r="V98" s="99" t="s">
        <v>377</v>
      </c>
      <c r="W98" s="99" t="s">
        <v>377</v>
      </c>
      <c r="X98" s="99" t="s">
        <v>377</v>
      </c>
      <c r="Y98" s="99" t="s">
        <v>377</v>
      </c>
      <c r="Z98" s="99" t="s">
        <v>377</v>
      </c>
      <c r="AA98" s="99" t="s">
        <v>377</v>
      </c>
      <c r="AB98" s="99" t="s">
        <v>377</v>
      </c>
      <c r="AC98" s="99" t="s">
        <v>377</v>
      </c>
      <c r="AD98" s="104" t="s">
        <v>377</v>
      </c>
      <c r="AE98" s="103" t="s">
        <v>377</v>
      </c>
      <c r="AF98" s="103"/>
      <c r="AG98" s="105"/>
      <c r="AH98" s="105"/>
      <c r="AI98" s="105"/>
      <c r="AJ98" s="105"/>
      <c r="AK98" s="105"/>
      <c r="AL98" s="105"/>
      <c r="AM98" s="106"/>
      <c r="AN98" s="288"/>
      <c r="AO98" s="105"/>
      <c r="AP98" s="105"/>
      <c r="AQ98" s="105"/>
      <c r="AR98" s="123" t="str">
        <f t="shared" si="21"/>
        <v>0</v>
      </c>
      <c r="AS98" s="123" t="str">
        <f t="shared" si="22"/>
        <v>0</v>
      </c>
      <c r="AT98" s="123" t="str">
        <f t="shared" si="18"/>
        <v>0</v>
      </c>
      <c r="AU98" s="123" t="str">
        <f t="shared" si="23"/>
        <v>0</v>
      </c>
      <c r="AV98" s="123" t="str">
        <f t="shared" si="24"/>
        <v>0</v>
      </c>
      <c r="AW98" s="105"/>
      <c r="AX98" s="105"/>
      <c r="AY98" s="105"/>
      <c r="AZ98" s="105"/>
      <c r="BA98" s="105"/>
      <c r="BB98" s="105"/>
      <c r="BC98" s="105"/>
      <c r="BD98" s="105"/>
      <c r="BE98" s="105"/>
      <c r="BF98" s="105"/>
      <c r="BG98" s="105"/>
      <c r="BH98" s="105"/>
      <c r="BI98" s="105"/>
      <c r="BJ98" s="105"/>
      <c r="BK98" s="105"/>
      <c r="BL98" s="105"/>
      <c r="BM98" s="105"/>
      <c r="BN98" s="105"/>
      <c r="BO98" s="105"/>
      <c r="BP98" s="105"/>
      <c r="BQ98" s="105"/>
      <c r="BR98" s="105"/>
      <c r="BS98" s="105"/>
      <c r="BT98" s="105"/>
      <c r="BU98" s="99"/>
      <c r="BV98" s="99"/>
      <c r="BW98" s="99"/>
      <c r="BX98" s="99"/>
      <c r="BY98" s="99"/>
      <c r="BZ98" s="99"/>
      <c r="CA98" s="99"/>
      <c r="CB98" s="99"/>
      <c r="CC98" s="99"/>
      <c r="CD98" s="99"/>
      <c r="CE98" s="99"/>
      <c r="CF98" s="99"/>
      <c r="CG98" s="99"/>
      <c r="CH98" s="504">
        <f t="shared" si="20"/>
        <v>0</v>
      </c>
      <c r="CI98" s="107"/>
      <c r="CJ98" s="102"/>
      <c r="CK98" s="102"/>
      <c r="CL98" s="102"/>
      <c r="CM98" s="102"/>
      <c r="CN98" s="102"/>
      <c r="CO98" s="102"/>
      <c r="CP98" s="108"/>
      <c r="CQ98" s="97"/>
    </row>
    <row r="99" spans="2:95" ht="39" customHeight="1" x14ac:dyDescent="0.3">
      <c r="B99" s="97"/>
      <c r="C99" s="98"/>
      <c r="D99" s="97"/>
      <c r="E99" s="99"/>
      <c r="F99" s="99" t="s">
        <v>377</v>
      </c>
      <c r="G99" s="97"/>
      <c r="H99" s="100" t="s">
        <v>377</v>
      </c>
      <c r="I99" s="101"/>
      <c r="J99" s="99"/>
      <c r="K99" s="102"/>
      <c r="L99" s="103"/>
      <c r="M99" s="103"/>
      <c r="N99" s="103"/>
      <c r="O99" s="103"/>
      <c r="P99" s="99" t="s">
        <v>377</v>
      </c>
      <c r="Q99" s="99" t="s">
        <v>377</v>
      </c>
      <c r="R99" s="99" t="s">
        <v>377</v>
      </c>
      <c r="S99" s="99" t="s">
        <v>377</v>
      </c>
      <c r="T99" s="99" t="s">
        <v>377</v>
      </c>
      <c r="U99" s="99" t="s">
        <v>377</v>
      </c>
      <c r="V99" s="99" t="s">
        <v>377</v>
      </c>
      <c r="W99" s="99" t="s">
        <v>377</v>
      </c>
      <c r="X99" s="99" t="s">
        <v>377</v>
      </c>
      <c r="Y99" s="99" t="s">
        <v>377</v>
      </c>
      <c r="Z99" s="99" t="s">
        <v>377</v>
      </c>
      <c r="AA99" s="99" t="s">
        <v>377</v>
      </c>
      <c r="AB99" s="99" t="s">
        <v>377</v>
      </c>
      <c r="AC99" s="99" t="s">
        <v>377</v>
      </c>
      <c r="AD99" s="104" t="s">
        <v>377</v>
      </c>
      <c r="AE99" s="103" t="s">
        <v>377</v>
      </c>
      <c r="AF99" s="103"/>
      <c r="AG99" s="105"/>
      <c r="AH99" s="105"/>
      <c r="AI99" s="105"/>
      <c r="AJ99" s="105"/>
      <c r="AK99" s="105"/>
      <c r="AL99" s="105"/>
      <c r="AM99" s="106"/>
      <c r="AN99" s="288"/>
      <c r="AO99" s="105"/>
      <c r="AP99" s="105"/>
      <c r="AQ99" s="105"/>
      <c r="AR99" s="123" t="str">
        <f t="shared" si="21"/>
        <v>0</v>
      </c>
      <c r="AS99" s="123" t="str">
        <f t="shared" si="22"/>
        <v>0</v>
      </c>
      <c r="AT99" s="123" t="str">
        <f t="shared" si="18"/>
        <v>0</v>
      </c>
      <c r="AU99" s="123" t="str">
        <f t="shared" si="23"/>
        <v>0</v>
      </c>
      <c r="AV99" s="123" t="str">
        <f t="shared" si="24"/>
        <v>0</v>
      </c>
      <c r="AW99" s="105"/>
      <c r="AX99" s="105"/>
      <c r="AY99" s="105"/>
      <c r="AZ99" s="105"/>
      <c r="BA99" s="105"/>
      <c r="BB99" s="105"/>
      <c r="BC99" s="105"/>
      <c r="BD99" s="105"/>
      <c r="BE99" s="105"/>
      <c r="BF99" s="105"/>
      <c r="BG99" s="105"/>
      <c r="BH99" s="105"/>
      <c r="BI99" s="105"/>
      <c r="BJ99" s="105"/>
      <c r="BK99" s="105"/>
      <c r="BL99" s="105"/>
      <c r="BM99" s="105"/>
      <c r="BN99" s="105"/>
      <c r="BO99" s="105"/>
      <c r="BP99" s="105"/>
      <c r="BQ99" s="105"/>
      <c r="BR99" s="105"/>
      <c r="BS99" s="105"/>
      <c r="BT99" s="105"/>
      <c r="BU99" s="99"/>
      <c r="BV99" s="99"/>
      <c r="BW99" s="99"/>
      <c r="BX99" s="99"/>
      <c r="BY99" s="99"/>
      <c r="BZ99" s="99"/>
      <c r="CA99" s="99"/>
      <c r="CB99" s="99"/>
      <c r="CC99" s="99"/>
      <c r="CD99" s="99"/>
      <c r="CE99" s="99"/>
      <c r="CF99" s="99"/>
      <c r="CG99" s="99"/>
      <c r="CH99" s="504">
        <f t="shared" si="20"/>
        <v>0</v>
      </c>
      <c r="CI99" s="107"/>
      <c r="CJ99" s="102"/>
      <c r="CK99" s="102"/>
      <c r="CL99" s="102"/>
      <c r="CM99" s="102"/>
      <c r="CN99" s="102"/>
      <c r="CO99" s="102"/>
      <c r="CP99" s="108"/>
      <c r="CQ99" s="97"/>
    </row>
    <row r="100" spans="2:95" ht="39" customHeight="1" x14ac:dyDescent="0.3">
      <c r="B100" s="97"/>
      <c r="C100" s="98"/>
      <c r="D100" s="97"/>
      <c r="E100" s="99"/>
      <c r="F100" s="99" t="s">
        <v>377</v>
      </c>
      <c r="G100" s="97"/>
      <c r="H100" s="100" t="s">
        <v>377</v>
      </c>
      <c r="I100" s="101"/>
      <c r="J100" s="99"/>
      <c r="K100" s="102"/>
      <c r="L100" s="103"/>
      <c r="M100" s="103"/>
      <c r="N100" s="103"/>
      <c r="O100" s="103"/>
      <c r="P100" s="99" t="s">
        <v>377</v>
      </c>
      <c r="Q100" s="99" t="s">
        <v>377</v>
      </c>
      <c r="R100" s="99" t="s">
        <v>377</v>
      </c>
      <c r="S100" s="99" t="s">
        <v>377</v>
      </c>
      <c r="T100" s="99" t="s">
        <v>377</v>
      </c>
      <c r="U100" s="99" t="s">
        <v>377</v>
      </c>
      <c r="V100" s="99" t="s">
        <v>377</v>
      </c>
      <c r="W100" s="99" t="s">
        <v>377</v>
      </c>
      <c r="X100" s="99" t="s">
        <v>377</v>
      </c>
      <c r="Y100" s="99" t="s">
        <v>377</v>
      </c>
      <c r="Z100" s="99" t="s">
        <v>377</v>
      </c>
      <c r="AA100" s="99" t="s">
        <v>377</v>
      </c>
      <c r="AB100" s="99" t="s">
        <v>377</v>
      </c>
      <c r="AC100" s="99" t="s">
        <v>377</v>
      </c>
      <c r="AD100" s="104" t="s">
        <v>377</v>
      </c>
      <c r="AE100" s="103" t="s">
        <v>377</v>
      </c>
      <c r="AF100" s="103"/>
      <c r="AG100" s="105"/>
      <c r="AH100" s="105"/>
      <c r="AI100" s="105"/>
      <c r="AJ100" s="105"/>
      <c r="AK100" s="105"/>
      <c r="AL100" s="105"/>
      <c r="AM100" s="106"/>
      <c r="AN100" s="288"/>
      <c r="AO100" s="105"/>
      <c r="AP100" s="105"/>
      <c r="AQ100" s="105"/>
      <c r="AR100" s="123" t="str">
        <f t="shared" si="21"/>
        <v>0</v>
      </c>
      <c r="AS100" s="123" t="str">
        <f t="shared" si="22"/>
        <v>0</v>
      </c>
      <c r="AT100" s="123" t="str">
        <f t="shared" si="18"/>
        <v>0</v>
      </c>
      <c r="AU100" s="123" t="str">
        <f t="shared" si="23"/>
        <v>0</v>
      </c>
      <c r="AV100" s="123" t="str">
        <f t="shared" si="24"/>
        <v>0</v>
      </c>
      <c r="AW100" s="105"/>
      <c r="AX100" s="105"/>
      <c r="AY100" s="105"/>
      <c r="AZ100" s="105"/>
      <c r="BA100" s="105"/>
      <c r="BB100" s="105"/>
      <c r="BC100" s="105"/>
      <c r="BD100" s="105"/>
      <c r="BE100" s="105"/>
      <c r="BF100" s="105"/>
      <c r="BG100" s="105"/>
      <c r="BH100" s="105"/>
      <c r="BI100" s="105"/>
      <c r="BJ100" s="105"/>
      <c r="BK100" s="105"/>
      <c r="BL100" s="105"/>
      <c r="BM100" s="105"/>
      <c r="BN100" s="105"/>
      <c r="BO100" s="105"/>
      <c r="BP100" s="105"/>
      <c r="BQ100" s="105"/>
      <c r="BR100" s="105"/>
      <c r="BS100" s="105"/>
      <c r="BT100" s="105"/>
      <c r="BU100" s="99"/>
      <c r="BV100" s="99"/>
      <c r="BW100" s="99"/>
      <c r="BX100" s="99"/>
      <c r="BY100" s="99"/>
      <c r="BZ100" s="99"/>
      <c r="CA100" s="99"/>
      <c r="CB100" s="99"/>
      <c r="CC100" s="99"/>
      <c r="CD100" s="99"/>
      <c r="CE100" s="99"/>
      <c r="CF100" s="99"/>
      <c r="CG100" s="99"/>
      <c r="CH100" s="504">
        <f t="shared" si="20"/>
        <v>0</v>
      </c>
      <c r="CI100" s="107"/>
      <c r="CJ100" s="102"/>
      <c r="CK100" s="102"/>
      <c r="CL100" s="102"/>
      <c r="CM100" s="102"/>
      <c r="CN100" s="102"/>
      <c r="CO100" s="102"/>
      <c r="CP100" s="108"/>
      <c r="CQ100" s="97"/>
    </row>
    <row r="101" spans="2:95" ht="39" customHeight="1" x14ac:dyDescent="0.3">
      <c r="B101" s="97"/>
      <c r="C101" s="98"/>
      <c r="D101" s="97"/>
      <c r="E101" s="99"/>
      <c r="F101" s="99" t="s">
        <v>377</v>
      </c>
      <c r="G101" s="97"/>
      <c r="H101" s="100" t="s">
        <v>377</v>
      </c>
      <c r="I101" s="101"/>
      <c r="J101" s="99"/>
      <c r="K101" s="102"/>
      <c r="L101" s="103"/>
      <c r="M101" s="103"/>
      <c r="N101" s="103"/>
      <c r="O101" s="103"/>
      <c r="P101" s="99" t="s">
        <v>377</v>
      </c>
      <c r="Q101" s="99" t="s">
        <v>377</v>
      </c>
      <c r="R101" s="99" t="s">
        <v>377</v>
      </c>
      <c r="S101" s="99" t="s">
        <v>377</v>
      </c>
      <c r="T101" s="99" t="s">
        <v>377</v>
      </c>
      <c r="U101" s="99" t="s">
        <v>377</v>
      </c>
      <c r="V101" s="99" t="s">
        <v>377</v>
      </c>
      <c r="W101" s="99" t="s">
        <v>377</v>
      </c>
      <c r="X101" s="99" t="s">
        <v>377</v>
      </c>
      <c r="Y101" s="99" t="s">
        <v>377</v>
      </c>
      <c r="Z101" s="99" t="s">
        <v>377</v>
      </c>
      <c r="AA101" s="99" t="s">
        <v>377</v>
      </c>
      <c r="AB101" s="99" t="s">
        <v>377</v>
      </c>
      <c r="AC101" s="99" t="s">
        <v>377</v>
      </c>
      <c r="AD101" s="104" t="s">
        <v>377</v>
      </c>
      <c r="AE101" s="103" t="s">
        <v>377</v>
      </c>
      <c r="AF101" s="103"/>
      <c r="AG101" s="105"/>
      <c r="AH101" s="105"/>
      <c r="AI101" s="105"/>
      <c r="AJ101" s="105"/>
      <c r="AK101" s="105"/>
      <c r="AL101" s="105"/>
      <c r="AM101" s="106"/>
      <c r="AN101" s="288"/>
      <c r="AO101" s="105"/>
      <c r="AP101" s="105"/>
      <c r="AQ101" s="105"/>
      <c r="AR101" s="123" t="str">
        <f t="shared" si="21"/>
        <v>0</v>
      </c>
      <c r="AS101" s="123" t="str">
        <f t="shared" si="22"/>
        <v>0</v>
      </c>
      <c r="AT101" s="123" t="str">
        <f t="shared" si="18"/>
        <v>0</v>
      </c>
      <c r="AU101" s="123" t="str">
        <f t="shared" si="23"/>
        <v>0</v>
      </c>
      <c r="AV101" s="123" t="str">
        <f t="shared" si="24"/>
        <v>0</v>
      </c>
      <c r="AW101" s="105"/>
      <c r="AX101" s="105"/>
      <c r="AY101" s="105"/>
      <c r="AZ101" s="105"/>
      <c r="BA101" s="105"/>
      <c r="BB101" s="105"/>
      <c r="BC101" s="105"/>
      <c r="BD101" s="105"/>
      <c r="BE101" s="105"/>
      <c r="BF101" s="105"/>
      <c r="BG101" s="105"/>
      <c r="BH101" s="105"/>
      <c r="BI101" s="105"/>
      <c r="BJ101" s="105"/>
      <c r="BK101" s="105"/>
      <c r="BL101" s="105"/>
      <c r="BM101" s="105"/>
      <c r="BN101" s="105"/>
      <c r="BO101" s="105"/>
      <c r="BP101" s="105"/>
      <c r="BQ101" s="105"/>
      <c r="BR101" s="105"/>
      <c r="BS101" s="105"/>
      <c r="BT101" s="105"/>
      <c r="BU101" s="99"/>
      <c r="BV101" s="99"/>
      <c r="BW101" s="99"/>
      <c r="BX101" s="99"/>
      <c r="BY101" s="99"/>
      <c r="BZ101" s="99"/>
      <c r="CA101" s="99"/>
      <c r="CB101" s="99"/>
      <c r="CC101" s="99"/>
      <c r="CD101" s="99"/>
      <c r="CE101" s="99"/>
      <c r="CF101" s="99"/>
      <c r="CG101" s="99"/>
      <c r="CH101" s="504">
        <f t="shared" si="20"/>
        <v>0</v>
      </c>
      <c r="CI101" s="107"/>
      <c r="CJ101" s="102"/>
      <c r="CK101" s="102"/>
      <c r="CL101" s="102"/>
      <c r="CM101" s="102"/>
      <c r="CN101" s="102"/>
      <c r="CO101" s="102"/>
      <c r="CP101" s="108"/>
      <c r="CQ101" s="97"/>
    </row>
    <row r="102" spans="2:95" ht="39" customHeight="1" x14ac:dyDescent="0.3">
      <c r="B102" s="97"/>
      <c r="C102" s="98"/>
      <c r="D102" s="97"/>
      <c r="E102" s="99"/>
      <c r="F102" s="99" t="s">
        <v>377</v>
      </c>
      <c r="G102" s="97"/>
      <c r="H102" s="100" t="s">
        <v>377</v>
      </c>
      <c r="I102" s="101"/>
      <c r="J102" s="99"/>
      <c r="K102" s="102"/>
      <c r="L102" s="103"/>
      <c r="M102" s="103"/>
      <c r="N102" s="103"/>
      <c r="O102" s="103"/>
      <c r="P102" s="99" t="s">
        <v>377</v>
      </c>
      <c r="Q102" s="99" t="s">
        <v>377</v>
      </c>
      <c r="R102" s="99" t="s">
        <v>377</v>
      </c>
      <c r="S102" s="99" t="s">
        <v>377</v>
      </c>
      <c r="T102" s="99" t="s">
        <v>377</v>
      </c>
      <c r="U102" s="99" t="s">
        <v>377</v>
      </c>
      <c r="V102" s="99" t="s">
        <v>377</v>
      </c>
      <c r="W102" s="99" t="s">
        <v>377</v>
      </c>
      <c r="X102" s="99" t="s">
        <v>377</v>
      </c>
      <c r="Y102" s="99" t="s">
        <v>377</v>
      </c>
      <c r="Z102" s="99" t="s">
        <v>377</v>
      </c>
      <c r="AA102" s="99" t="s">
        <v>377</v>
      </c>
      <c r="AB102" s="99" t="s">
        <v>377</v>
      </c>
      <c r="AC102" s="99" t="s">
        <v>377</v>
      </c>
      <c r="AD102" s="104" t="s">
        <v>377</v>
      </c>
      <c r="AE102" s="103" t="s">
        <v>377</v>
      </c>
      <c r="AF102" s="103"/>
      <c r="AG102" s="105"/>
      <c r="AH102" s="105"/>
      <c r="AI102" s="105"/>
      <c r="AJ102" s="105"/>
      <c r="AK102" s="105"/>
      <c r="AL102" s="105"/>
      <c r="AM102" s="106"/>
      <c r="AN102" s="288"/>
      <c r="AO102" s="105"/>
      <c r="AP102" s="105"/>
      <c r="AQ102" s="105"/>
      <c r="AR102" s="123" t="str">
        <f t="shared" si="21"/>
        <v>0</v>
      </c>
      <c r="AS102" s="123" t="str">
        <f t="shared" si="22"/>
        <v>0</v>
      </c>
      <c r="AT102" s="123" t="str">
        <f t="shared" si="18"/>
        <v>0</v>
      </c>
      <c r="AU102" s="123" t="str">
        <f t="shared" si="23"/>
        <v>0</v>
      </c>
      <c r="AV102" s="123" t="str">
        <f t="shared" si="24"/>
        <v>0</v>
      </c>
      <c r="AW102" s="105"/>
      <c r="AX102" s="105"/>
      <c r="AY102" s="105"/>
      <c r="AZ102" s="105"/>
      <c r="BA102" s="105"/>
      <c r="BB102" s="105"/>
      <c r="BC102" s="105"/>
      <c r="BD102" s="105"/>
      <c r="BE102" s="105"/>
      <c r="BF102" s="105"/>
      <c r="BG102" s="105"/>
      <c r="BH102" s="105"/>
      <c r="BI102" s="105"/>
      <c r="BJ102" s="105"/>
      <c r="BK102" s="105"/>
      <c r="BL102" s="105"/>
      <c r="BM102" s="105"/>
      <c r="BN102" s="105"/>
      <c r="BO102" s="105"/>
      <c r="BP102" s="105"/>
      <c r="BQ102" s="105"/>
      <c r="BR102" s="105"/>
      <c r="BS102" s="105"/>
      <c r="BT102" s="105"/>
      <c r="BU102" s="99"/>
      <c r="BV102" s="99"/>
      <c r="BW102" s="99"/>
      <c r="BX102" s="99"/>
      <c r="BY102" s="99"/>
      <c r="BZ102" s="99"/>
      <c r="CA102" s="99"/>
      <c r="CB102" s="99"/>
      <c r="CC102" s="99"/>
      <c r="CD102" s="99"/>
      <c r="CE102" s="99"/>
      <c r="CF102" s="99"/>
      <c r="CG102" s="99"/>
      <c r="CH102" s="504">
        <f t="shared" si="20"/>
        <v>0</v>
      </c>
      <c r="CI102" s="107"/>
      <c r="CJ102" s="102"/>
      <c r="CK102" s="102"/>
      <c r="CL102" s="102"/>
      <c r="CM102" s="102"/>
      <c r="CN102" s="102"/>
      <c r="CO102" s="102"/>
      <c r="CP102" s="108"/>
      <c r="CQ102" s="97"/>
    </row>
    <row r="103" spans="2:95" ht="39" customHeight="1" x14ac:dyDescent="0.3">
      <c r="B103" s="97"/>
      <c r="C103" s="98"/>
      <c r="D103" s="97"/>
      <c r="E103" s="99"/>
      <c r="F103" s="99" t="s">
        <v>377</v>
      </c>
      <c r="G103" s="97"/>
      <c r="H103" s="100" t="s">
        <v>377</v>
      </c>
      <c r="I103" s="101"/>
      <c r="J103" s="99"/>
      <c r="K103" s="102"/>
      <c r="L103" s="103"/>
      <c r="M103" s="103"/>
      <c r="N103" s="103"/>
      <c r="O103" s="103"/>
      <c r="P103" s="99" t="s">
        <v>377</v>
      </c>
      <c r="Q103" s="99" t="s">
        <v>377</v>
      </c>
      <c r="R103" s="99" t="s">
        <v>377</v>
      </c>
      <c r="S103" s="99" t="s">
        <v>377</v>
      </c>
      <c r="T103" s="99" t="s">
        <v>377</v>
      </c>
      <c r="U103" s="99" t="s">
        <v>377</v>
      </c>
      <c r="V103" s="99" t="s">
        <v>377</v>
      </c>
      <c r="W103" s="99" t="s">
        <v>377</v>
      </c>
      <c r="X103" s="99" t="s">
        <v>377</v>
      </c>
      <c r="Y103" s="99" t="s">
        <v>377</v>
      </c>
      <c r="Z103" s="99" t="s">
        <v>377</v>
      </c>
      <c r="AA103" s="99" t="s">
        <v>377</v>
      </c>
      <c r="AB103" s="99" t="s">
        <v>377</v>
      </c>
      <c r="AC103" s="99" t="s">
        <v>377</v>
      </c>
      <c r="AD103" s="104" t="s">
        <v>377</v>
      </c>
      <c r="AE103" s="103" t="s">
        <v>377</v>
      </c>
      <c r="AF103" s="103"/>
      <c r="AG103" s="105"/>
      <c r="AH103" s="105"/>
      <c r="AI103" s="105"/>
      <c r="AJ103" s="105"/>
      <c r="AK103" s="105"/>
      <c r="AL103" s="105"/>
      <c r="AM103" s="106"/>
      <c r="AN103" s="288"/>
      <c r="AO103" s="105"/>
      <c r="AP103" s="105"/>
      <c r="AQ103" s="105"/>
      <c r="AR103" s="123" t="str">
        <f t="shared" si="21"/>
        <v>0</v>
      </c>
      <c r="AS103" s="123" t="str">
        <f t="shared" si="22"/>
        <v>0</v>
      </c>
      <c r="AT103" s="123" t="str">
        <f t="shared" si="18"/>
        <v>0</v>
      </c>
      <c r="AU103" s="123" t="str">
        <f t="shared" si="23"/>
        <v>0</v>
      </c>
      <c r="AV103" s="123" t="str">
        <f t="shared" si="24"/>
        <v>0</v>
      </c>
      <c r="AW103" s="105"/>
      <c r="AX103" s="105"/>
      <c r="AY103" s="105"/>
      <c r="AZ103" s="105"/>
      <c r="BA103" s="105"/>
      <c r="BB103" s="105"/>
      <c r="BC103" s="105"/>
      <c r="BD103" s="105"/>
      <c r="BE103" s="105"/>
      <c r="BF103" s="105"/>
      <c r="BG103" s="105"/>
      <c r="BH103" s="105"/>
      <c r="BI103" s="105"/>
      <c r="BJ103" s="105"/>
      <c r="BK103" s="105"/>
      <c r="BL103" s="105"/>
      <c r="BM103" s="105"/>
      <c r="BN103" s="105"/>
      <c r="BO103" s="105"/>
      <c r="BP103" s="105"/>
      <c r="BQ103" s="105"/>
      <c r="BR103" s="105"/>
      <c r="BS103" s="105"/>
      <c r="BT103" s="105"/>
      <c r="BU103" s="99"/>
      <c r="BV103" s="99"/>
      <c r="BW103" s="99"/>
      <c r="BX103" s="99"/>
      <c r="BY103" s="99"/>
      <c r="BZ103" s="99"/>
      <c r="CA103" s="99"/>
      <c r="CB103" s="99"/>
      <c r="CC103" s="99"/>
      <c r="CD103" s="99"/>
      <c r="CE103" s="99"/>
      <c r="CF103" s="99"/>
      <c r="CG103" s="99"/>
      <c r="CH103" s="504">
        <f t="shared" si="20"/>
        <v>0</v>
      </c>
      <c r="CI103" s="107"/>
      <c r="CJ103" s="102"/>
      <c r="CK103" s="102"/>
      <c r="CL103" s="102"/>
      <c r="CM103" s="102"/>
      <c r="CN103" s="102"/>
      <c r="CO103" s="102"/>
      <c r="CP103" s="108"/>
      <c r="CQ103" s="97"/>
    </row>
    <row r="104" spans="2:95" ht="39" customHeight="1" x14ac:dyDescent="0.3">
      <c r="B104" s="97"/>
      <c r="C104" s="98"/>
      <c r="D104" s="97"/>
      <c r="E104" s="99"/>
      <c r="F104" s="99" t="s">
        <v>377</v>
      </c>
      <c r="G104" s="97"/>
      <c r="H104" s="100" t="s">
        <v>377</v>
      </c>
      <c r="I104" s="101"/>
      <c r="J104" s="99"/>
      <c r="K104" s="102"/>
      <c r="L104" s="103"/>
      <c r="M104" s="103"/>
      <c r="N104" s="103"/>
      <c r="O104" s="103"/>
      <c r="P104" s="99" t="s">
        <v>377</v>
      </c>
      <c r="Q104" s="99" t="s">
        <v>377</v>
      </c>
      <c r="R104" s="99" t="s">
        <v>377</v>
      </c>
      <c r="S104" s="99" t="s">
        <v>377</v>
      </c>
      <c r="T104" s="99" t="s">
        <v>377</v>
      </c>
      <c r="U104" s="99" t="s">
        <v>377</v>
      </c>
      <c r="V104" s="99" t="s">
        <v>377</v>
      </c>
      <c r="W104" s="99" t="s">
        <v>377</v>
      </c>
      <c r="X104" s="99" t="s">
        <v>377</v>
      </c>
      <c r="Y104" s="99" t="s">
        <v>377</v>
      </c>
      <c r="Z104" s="99" t="s">
        <v>377</v>
      </c>
      <c r="AA104" s="99" t="s">
        <v>377</v>
      </c>
      <c r="AB104" s="99" t="s">
        <v>377</v>
      </c>
      <c r="AC104" s="99" t="s">
        <v>377</v>
      </c>
      <c r="AD104" s="104" t="s">
        <v>377</v>
      </c>
      <c r="AE104" s="103" t="s">
        <v>377</v>
      </c>
      <c r="AF104" s="103"/>
      <c r="AG104" s="105"/>
      <c r="AH104" s="105"/>
      <c r="AI104" s="105"/>
      <c r="AJ104" s="105"/>
      <c r="AK104" s="105"/>
      <c r="AL104" s="105"/>
      <c r="AM104" s="106"/>
      <c r="AN104" s="288"/>
      <c r="AO104" s="105"/>
      <c r="AP104" s="105"/>
      <c r="AQ104" s="105"/>
      <c r="AR104" s="123" t="str">
        <f t="shared" si="21"/>
        <v>0</v>
      </c>
      <c r="AS104" s="123" t="str">
        <f t="shared" si="22"/>
        <v>0</v>
      </c>
      <c r="AT104" s="123" t="str">
        <f t="shared" si="18"/>
        <v>0</v>
      </c>
      <c r="AU104" s="123" t="str">
        <f t="shared" si="23"/>
        <v>0</v>
      </c>
      <c r="AV104" s="123" t="str">
        <f t="shared" si="24"/>
        <v>0</v>
      </c>
      <c r="AW104" s="105"/>
      <c r="AX104" s="105"/>
      <c r="AY104" s="105"/>
      <c r="AZ104" s="105"/>
      <c r="BA104" s="105"/>
      <c r="BB104" s="105"/>
      <c r="BC104" s="105"/>
      <c r="BD104" s="105"/>
      <c r="BE104" s="105"/>
      <c r="BF104" s="105"/>
      <c r="BG104" s="105"/>
      <c r="BH104" s="105"/>
      <c r="BI104" s="105"/>
      <c r="BJ104" s="105"/>
      <c r="BK104" s="105"/>
      <c r="BL104" s="105"/>
      <c r="BM104" s="105"/>
      <c r="BN104" s="105"/>
      <c r="BO104" s="105"/>
      <c r="BP104" s="105"/>
      <c r="BQ104" s="105"/>
      <c r="BR104" s="105"/>
      <c r="BS104" s="105"/>
      <c r="BT104" s="105"/>
      <c r="BU104" s="99"/>
      <c r="BV104" s="99"/>
      <c r="BW104" s="99"/>
      <c r="BX104" s="99"/>
      <c r="BY104" s="99"/>
      <c r="BZ104" s="99"/>
      <c r="CA104" s="99"/>
      <c r="CB104" s="99"/>
      <c r="CC104" s="99"/>
      <c r="CD104" s="99"/>
      <c r="CE104" s="99"/>
      <c r="CF104" s="99"/>
      <c r="CG104" s="99"/>
      <c r="CH104" s="504">
        <f t="shared" si="20"/>
        <v>0</v>
      </c>
      <c r="CI104" s="107"/>
      <c r="CJ104" s="102"/>
      <c r="CK104" s="102"/>
      <c r="CL104" s="102"/>
      <c r="CM104" s="102"/>
      <c r="CN104" s="102"/>
      <c r="CO104" s="102"/>
      <c r="CP104" s="108"/>
      <c r="CQ104" s="97"/>
    </row>
    <row r="105" spans="2:95" ht="39" customHeight="1" x14ac:dyDescent="0.3">
      <c r="B105" s="97"/>
      <c r="C105" s="98"/>
      <c r="D105" s="97"/>
      <c r="E105" s="99"/>
      <c r="F105" s="99" t="s">
        <v>377</v>
      </c>
      <c r="G105" s="97"/>
      <c r="H105" s="100" t="s">
        <v>377</v>
      </c>
      <c r="I105" s="101"/>
      <c r="J105" s="99"/>
      <c r="K105" s="102"/>
      <c r="L105" s="103"/>
      <c r="M105" s="103"/>
      <c r="N105" s="103"/>
      <c r="O105" s="103"/>
      <c r="P105" s="99" t="s">
        <v>377</v>
      </c>
      <c r="Q105" s="99" t="s">
        <v>377</v>
      </c>
      <c r="R105" s="99" t="s">
        <v>377</v>
      </c>
      <c r="S105" s="99" t="s">
        <v>377</v>
      </c>
      <c r="T105" s="99" t="s">
        <v>377</v>
      </c>
      <c r="U105" s="99" t="s">
        <v>377</v>
      </c>
      <c r="V105" s="99" t="s">
        <v>377</v>
      </c>
      <c r="W105" s="99" t="s">
        <v>377</v>
      </c>
      <c r="X105" s="99" t="s">
        <v>377</v>
      </c>
      <c r="Y105" s="99" t="s">
        <v>377</v>
      </c>
      <c r="Z105" s="99" t="s">
        <v>377</v>
      </c>
      <c r="AA105" s="99" t="s">
        <v>377</v>
      </c>
      <c r="AB105" s="99" t="s">
        <v>377</v>
      </c>
      <c r="AC105" s="99" t="s">
        <v>377</v>
      </c>
      <c r="AD105" s="104" t="s">
        <v>377</v>
      </c>
      <c r="AE105" s="103" t="s">
        <v>377</v>
      </c>
      <c r="AF105" s="103"/>
      <c r="AG105" s="105"/>
      <c r="AH105" s="105"/>
      <c r="AI105" s="105"/>
      <c r="AJ105" s="105"/>
      <c r="AK105" s="105"/>
      <c r="AL105" s="105"/>
      <c r="AM105" s="106"/>
      <c r="AN105" s="288"/>
      <c r="AO105" s="105"/>
      <c r="AP105" s="105"/>
      <c r="AQ105" s="105"/>
      <c r="AR105" s="123" t="str">
        <f t="shared" si="21"/>
        <v>0</v>
      </c>
      <c r="AS105" s="123" t="str">
        <f t="shared" si="22"/>
        <v>0</v>
      </c>
      <c r="AT105" s="123" t="str">
        <f t="shared" si="18"/>
        <v>0</v>
      </c>
      <c r="AU105" s="123" t="str">
        <f t="shared" si="23"/>
        <v>0</v>
      </c>
      <c r="AV105" s="123" t="str">
        <f t="shared" si="24"/>
        <v>0</v>
      </c>
      <c r="AW105" s="105"/>
      <c r="AX105" s="105"/>
      <c r="AY105" s="105"/>
      <c r="AZ105" s="105"/>
      <c r="BA105" s="105"/>
      <c r="BB105" s="105"/>
      <c r="BC105" s="105"/>
      <c r="BD105" s="105"/>
      <c r="BE105" s="105"/>
      <c r="BF105" s="105"/>
      <c r="BG105" s="105"/>
      <c r="BH105" s="105"/>
      <c r="BI105" s="105"/>
      <c r="BJ105" s="105"/>
      <c r="BK105" s="105"/>
      <c r="BL105" s="105"/>
      <c r="BM105" s="105"/>
      <c r="BN105" s="105"/>
      <c r="BO105" s="105"/>
      <c r="BP105" s="105"/>
      <c r="BQ105" s="105"/>
      <c r="BR105" s="105"/>
      <c r="BS105" s="105"/>
      <c r="BT105" s="105"/>
      <c r="BU105" s="99"/>
      <c r="BV105" s="99"/>
      <c r="BW105" s="99"/>
      <c r="BX105" s="99"/>
      <c r="BY105" s="99"/>
      <c r="BZ105" s="99"/>
      <c r="CA105" s="99"/>
      <c r="CB105" s="99"/>
      <c r="CC105" s="99"/>
      <c r="CD105" s="99"/>
      <c r="CE105" s="99"/>
      <c r="CF105" s="99"/>
      <c r="CG105" s="99"/>
      <c r="CH105" s="504">
        <f t="shared" si="20"/>
        <v>0</v>
      </c>
      <c r="CI105" s="107"/>
      <c r="CJ105" s="102"/>
      <c r="CK105" s="102"/>
      <c r="CL105" s="102"/>
      <c r="CM105" s="102"/>
      <c r="CN105" s="102"/>
      <c r="CO105" s="102"/>
      <c r="CP105" s="108"/>
      <c r="CQ105" s="97"/>
    </row>
    <row r="106" spans="2:95" ht="39" customHeight="1" x14ac:dyDescent="0.3">
      <c r="B106" s="97"/>
      <c r="C106" s="98"/>
      <c r="D106" s="97"/>
      <c r="E106" s="99"/>
      <c r="F106" s="99" t="s">
        <v>377</v>
      </c>
      <c r="G106" s="97"/>
      <c r="H106" s="100" t="s">
        <v>377</v>
      </c>
      <c r="I106" s="101"/>
      <c r="J106" s="99"/>
      <c r="K106" s="102"/>
      <c r="L106" s="103"/>
      <c r="M106" s="103"/>
      <c r="N106" s="103"/>
      <c r="O106" s="103"/>
      <c r="P106" s="99" t="s">
        <v>377</v>
      </c>
      <c r="Q106" s="99" t="s">
        <v>377</v>
      </c>
      <c r="R106" s="99" t="s">
        <v>377</v>
      </c>
      <c r="S106" s="99" t="s">
        <v>377</v>
      </c>
      <c r="T106" s="99" t="s">
        <v>377</v>
      </c>
      <c r="U106" s="99" t="s">
        <v>377</v>
      </c>
      <c r="V106" s="99" t="s">
        <v>377</v>
      </c>
      <c r="W106" s="99" t="s">
        <v>377</v>
      </c>
      <c r="X106" s="99" t="s">
        <v>377</v>
      </c>
      <c r="Y106" s="99" t="s">
        <v>377</v>
      </c>
      <c r="Z106" s="99" t="s">
        <v>377</v>
      </c>
      <c r="AA106" s="99" t="s">
        <v>377</v>
      </c>
      <c r="AB106" s="99" t="s">
        <v>377</v>
      </c>
      <c r="AC106" s="99" t="s">
        <v>377</v>
      </c>
      <c r="AD106" s="104" t="s">
        <v>377</v>
      </c>
      <c r="AE106" s="103" t="s">
        <v>377</v>
      </c>
      <c r="AF106" s="103"/>
      <c r="AG106" s="105"/>
      <c r="AH106" s="105"/>
      <c r="AI106" s="105"/>
      <c r="AJ106" s="105"/>
      <c r="AK106" s="105"/>
      <c r="AL106" s="105"/>
      <c r="AM106" s="106"/>
      <c r="AN106" s="288"/>
      <c r="AO106" s="105"/>
      <c r="AP106" s="105"/>
      <c r="AQ106" s="105"/>
      <c r="AR106" s="123" t="str">
        <f t="shared" si="21"/>
        <v>0</v>
      </c>
      <c r="AS106" s="123" t="str">
        <f t="shared" si="22"/>
        <v>0</v>
      </c>
      <c r="AT106" s="123" t="str">
        <f t="shared" si="18"/>
        <v>0</v>
      </c>
      <c r="AU106" s="123" t="str">
        <f t="shared" si="23"/>
        <v>0</v>
      </c>
      <c r="AV106" s="123" t="str">
        <f t="shared" si="24"/>
        <v>0</v>
      </c>
      <c r="AW106" s="105"/>
      <c r="AX106" s="105"/>
      <c r="AY106" s="105"/>
      <c r="AZ106" s="105"/>
      <c r="BA106" s="105"/>
      <c r="BB106" s="105"/>
      <c r="BC106" s="105"/>
      <c r="BD106" s="105"/>
      <c r="BE106" s="105"/>
      <c r="BF106" s="105"/>
      <c r="BG106" s="105"/>
      <c r="BH106" s="105"/>
      <c r="BI106" s="105"/>
      <c r="BJ106" s="105"/>
      <c r="BK106" s="105"/>
      <c r="BL106" s="105"/>
      <c r="BM106" s="105"/>
      <c r="BN106" s="105"/>
      <c r="BO106" s="105"/>
      <c r="BP106" s="105"/>
      <c r="BQ106" s="105"/>
      <c r="BR106" s="105"/>
      <c r="BS106" s="105"/>
      <c r="BT106" s="105"/>
      <c r="BU106" s="99"/>
      <c r="BV106" s="99"/>
      <c r="BW106" s="99"/>
      <c r="BX106" s="99"/>
      <c r="BY106" s="99"/>
      <c r="BZ106" s="99"/>
      <c r="CA106" s="99"/>
      <c r="CB106" s="99"/>
      <c r="CC106" s="99"/>
      <c r="CD106" s="99"/>
      <c r="CE106" s="99"/>
      <c r="CF106" s="99"/>
      <c r="CG106" s="99"/>
      <c r="CH106" s="504">
        <f t="shared" si="20"/>
        <v>0</v>
      </c>
      <c r="CI106" s="107"/>
      <c r="CJ106" s="102"/>
      <c r="CK106" s="102"/>
      <c r="CL106" s="102"/>
      <c r="CM106" s="102"/>
      <c r="CN106" s="102"/>
      <c r="CO106" s="102"/>
      <c r="CP106" s="108"/>
      <c r="CQ106" s="97"/>
    </row>
    <row r="107" spans="2:95" ht="39" customHeight="1" x14ac:dyDescent="0.3">
      <c r="B107" s="97"/>
      <c r="C107" s="98"/>
      <c r="D107" s="97"/>
      <c r="E107" s="99"/>
      <c r="F107" s="99" t="s">
        <v>377</v>
      </c>
      <c r="G107" s="97"/>
      <c r="H107" s="100" t="s">
        <v>377</v>
      </c>
      <c r="I107" s="101"/>
      <c r="J107" s="99"/>
      <c r="K107" s="102"/>
      <c r="L107" s="103"/>
      <c r="M107" s="103"/>
      <c r="N107" s="103"/>
      <c r="O107" s="103"/>
      <c r="P107" s="99" t="s">
        <v>377</v>
      </c>
      <c r="Q107" s="99" t="s">
        <v>377</v>
      </c>
      <c r="R107" s="99" t="s">
        <v>377</v>
      </c>
      <c r="S107" s="99" t="s">
        <v>377</v>
      </c>
      <c r="T107" s="99" t="s">
        <v>377</v>
      </c>
      <c r="U107" s="99" t="s">
        <v>377</v>
      </c>
      <c r="V107" s="99" t="s">
        <v>377</v>
      </c>
      <c r="W107" s="99" t="s">
        <v>377</v>
      </c>
      <c r="X107" s="99" t="s">
        <v>377</v>
      </c>
      <c r="Y107" s="99" t="s">
        <v>377</v>
      </c>
      <c r="Z107" s="99" t="s">
        <v>377</v>
      </c>
      <c r="AA107" s="99" t="s">
        <v>377</v>
      </c>
      <c r="AB107" s="99" t="s">
        <v>377</v>
      </c>
      <c r="AC107" s="99" t="s">
        <v>377</v>
      </c>
      <c r="AD107" s="104" t="s">
        <v>377</v>
      </c>
      <c r="AE107" s="103" t="s">
        <v>377</v>
      </c>
      <c r="AF107" s="103"/>
      <c r="AG107" s="105"/>
      <c r="AH107" s="105"/>
      <c r="AI107" s="105"/>
      <c r="AJ107" s="105"/>
      <c r="AK107" s="105"/>
      <c r="AL107" s="105"/>
      <c r="AM107" s="106"/>
      <c r="AN107" s="288"/>
      <c r="AO107" s="105"/>
      <c r="AP107" s="105"/>
      <c r="AQ107" s="105"/>
      <c r="AR107" s="123" t="str">
        <f t="shared" ref="AR107:AR114" si="25">IFERROR(AL107/AF107,"0")</f>
        <v>0</v>
      </c>
      <c r="AS107" s="123" t="str">
        <f t="shared" si="22"/>
        <v>0</v>
      </c>
      <c r="AT107" s="123" t="str">
        <f t="shared" si="18"/>
        <v>0</v>
      </c>
      <c r="AU107" s="123" t="str">
        <f t="shared" si="23"/>
        <v>0</v>
      </c>
      <c r="AV107" s="123" t="str">
        <f t="shared" si="24"/>
        <v>0</v>
      </c>
      <c r="AW107" s="105"/>
      <c r="AX107" s="105"/>
      <c r="AY107" s="105"/>
      <c r="AZ107" s="105"/>
      <c r="BA107" s="105"/>
      <c r="BB107" s="105"/>
      <c r="BC107" s="105"/>
      <c r="BD107" s="105"/>
      <c r="BE107" s="105"/>
      <c r="BF107" s="105"/>
      <c r="BG107" s="105"/>
      <c r="BH107" s="105"/>
      <c r="BI107" s="105"/>
      <c r="BJ107" s="105"/>
      <c r="BK107" s="105"/>
      <c r="BL107" s="105"/>
      <c r="BM107" s="105"/>
      <c r="BN107" s="105"/>
      <c r="BO107" s="105"/>
      <c r="BP107" s="105"/>
      <c r="BQ107" s="105"/>
      <c r="BR107" s="105"/>
      <c r="BS107" s="105"/>
      <c r="BT107" s="105"/>
      <c r="BU107" s="99"/>
      <c r="BV107" s="99"/>
      <c r="BW107" s="99"/>
      <c r="BX107" s="99"/>
      <c r="BY107" s="99"/>
      <c r="BZ107" s="99"/>
      <c r="CA107" s="99"/>
      <c r="CB107" s="99"/>
      <c r="CC107" s="99"/>
      <c r="CD107" s="99"/>
      <c r="CE107" s="99"/>
      <c r="CF107" s="99"/>
      <c r="CG107" s="99"/>
      <c r="CH107" s="504">
        <f t="shared" si="20"/>
        <v>0</v>
      </c>
      <c r="CI107" s="107"/>
      <c r="CJ107" s="102"/>
      <c r="CK107" s="102"/>
      <c r="CL107" s="102"/>
      <c r="CM107" s="102"/>
      <c r="CN107" s="102"/>
      <c r="CO107" s="102"/>
      <c r="CP107" s="108"/>
      <c r="CQ107" s="97"/>
    </row>
    <row r="108" spans="2:95" ht="39" customHeight="1" x14ac:dyDescent="0.3">
      <c r="B108" s="97"/>
      <c r="C108" s="98"/>
      <c r="D108" s="97"/>
      <c r="E108" s="99"/>
      <c r="F108" s="99" t="s">
        <v>377</v>
      </c>
      <c r="G108" s="97"/>
      <c r="H108" s="100" t="s">
        <v>377</v>
      </c>
      <c r="I108" s="101"/>
      <c r="J108" s="99"/>
      <c r="K108" s="102"/>
      <c r="L108" s="103"/>
      <c r="M108" s="103"/>
      <c r="N108" s="103"/>
      <c r="O108" s="103"/>
      <c r="P108" s="99" t="s">
        <v>377</v>
      </c>
      <c r="Q108" s="99" t="s">
        <v>377</v>
      </c>
      <c r="R108" s="99" t="s">
        <v>377</v>
      </c>
      <c r="S108" s="99" t="s">
        <v>377</v>
      </c>
      <c r="T108" s="99" t="s">
        <v>377</v>
      </c>
      <c r="U108" s="99" t="s">
        <v>377</v>
      </c>
      <c r="V108" s="99" t="s">
        <v>377</v>
      </c>
      <c r="W108" s="99" t="s">
        <v>377</v>
      </c>
      <c r="X108" s="99" t="s">
        <v>377</v>
      </c>
      <c r="Y108" s="99" t="s">
        <v>377</v>
      </c>
      <c r="Z108" s="99" t="s">
        <v>377</v>
      </c>
      <c r="AA108" s="99" t="s">
        <v>377</v>
      </c>
      <c r="AB108" s="99" t="s">
        <v>377</v>
      </c>
      <c r="AC108" s="99" t="s">
        <v>377</v>
      </c>
      <c r="AD108" s="104" t="s">
        <v>377</v>
      </c>
      <c r="AE108" s="103" t="s">
        <v>377</v>
      </c>
      <c r="AF108" s="103"/>
      <c r="AG108" s="105"/>
      <c r="AH108" s="105"/>
      <c r="AI108" s="105"/>
      <c r="AJ108" s="105"/>
      <c r="AK108" s="105"/>
      <c r="AL108" s="105"/>
      <c r="AM108" s="106"/>
      <c r="AN108" s="288"/>
      <c r="AO108" s="105"/>
      <c r="AP108" s="105"/>
      <c r="AQ108" s="105"/>
      <c r="AR108" s="123" t="str">
        <f t="shared" si="25"/>
        <v>0</v>
      </c>
      <c r="AS108" s="123" t="str">
        <f t="shared" si="22"/>
        <v>0</v>
      </c>
      <c r="AT108" s="123" t="str">
        <f t="shared" si="18"/>
        <v>0</v>
      </c>
      <c r="AU108" s="123" t="str">
        <f t="shared" si="23"/>
        <v>0</v>
      </c>
      <c r="AV108" s="123" t="str">
        <f t="shared" si="24"/>
        <v>0</v>
      </c>
      <c r="AW108" s="105"/>
      <c r="AX108" s="105"/>
      <c r="AY108" s="105"/>
      <c r="AZ108" s="105"/>
      <c r="BA108" s="105"/>
      <c r="BB108" s="105"/>
      <c r="BC108" s="105"/>
      <c r="BD108" s="105"/>
      <c r="BE108" s="105"/>
      <c r="BF108" s="105"/>
      <c r="BG108" s="105"/>
      <c r="BH108" s="105"/>
      <c r="BI108" s="105"/>
      <c r="BJ108" s="105"/>
      <c r="BK108" s="105"/>
      <c r="BL108" s="105"/>
      <c r="BM108" s="105"/>
      <c r="BN108" s="105"/>
      <c r="BO108" s="105"/>
      <c r="BP108" s="105"/>
      <c r="BQ108" s="105"/>
      <c r="BR108" s="105"/>
      <c r="BS108" s="105"/>
      <c r="BT108" s="105"/>
      <c r="BU108" s="99"/>
      <c r="BV108" s="99"/>
      <c r="BW108" s="99"/>
      <c r="BX108" s="99"/>
      <c r="BY108" s="99"/>
      <c r="BZ108" s="99"/>
      <c r="CA108" s="99"/>
      <c r="CB108" s="99"/>
      <c r="CC108" s="99"/>
      <c r="CD108" s="99"/>
      <c r="CE108" s="99"/>
      <c r="CF108" s="99"/>
      <c r="CG108" s="99"/>
      <c r="CH108" s="504">
        <f t="shared" si="20"/>
        <v>0</v>
      </c>
      <c r="CI108" s="107"/>
      <c r="CJ108" s="102"/>
      <c r="CK108" s="102"/>
      <c r="CL108" s="102"/>
      <c r="CM108" s="102"/>
      <c r="CN108" s="102"/>
      <c r="CO108" s="102"/>
      <c r="CP108" s="108"/>
      <c r="CQ108" s="97"/>
    </row>
    <row r="109" spans="2:95" ht="39" customHeight="1" x14ac:dyDescent="0.3">
      <c r="B109" s="97"/>
      <c r="C109" s="98"/>
      <c r="D109" s="97"/>
      <c r="E109" s="99"/>
      <c r="F109" s="99" t="s">
        <v>377</v>
      </c>
      <c r="G109" s="97"/>
      <c r="H109" s="100" t="s">
        <v>377</v>
      </c>
      <c r="I109" s="101"/>
      <c r="J109" s="99"/>
      <c r="K109" s="102"/>
      <c r="L109" s="103"/>
      <c r="M109" s="103"/>
      <c r="N109" s="103"/>
      <c r="O109" s="103"/>
      <c r="P109" s="99" t="s">
        <v>377</v>
      </c>
      <c r="Q109" s="99" t="s">
        <v>377</v>
      </c>
      <c r="R109" s="99" t="s">
        <v>377</v>
      </c>
      <c r="S109" s="99" t="s">
        <v>377</v>
      </c>
      <c r="T109" s="99" t="s">
        <v>377</v>
      </c>
      <c r="U109" s="99" t="s">
        <v>377</v>
      </c>
      <c r="V109" s="99" t="s">
        <v>377</v>
      </c>
      <c r="W109" s="99" t="s">
        <v>377</v>
      </c>
      <c r="X109" s="99" t="s">
        <v>377</v>
      </c>
      <c r="Y109" s="99" t="s">
        <v>377</v>
      </c>
      <c r="Z109" s="99" t="s">
        <v>377</v>
      </c>
      <c r="AA109" s="99" t="s">
        <v>377</v>
      </c>
      <c r="AB109" s="99" t="s">
        <v>377</v>
      </c>
      <c r="AC109" s="99" t="s">
        <v>377</v>
      </c>
      <c r="AD109" s="104" t="s">
        <v>377</v>
      </c>
      <c r="AE109" s="103" t="s">
        <v>377</v>
      </c>
      <c r="AF109" s="103"/>
      <c r="AG109" s="105"/>
      <c r="AH109" s="105"/>
      <c r="AI109" s="105"/>
      <c r="AJ109" s="105"/>
      <c r="AK109" s="105"/>
      <c r="AL109" s="105"/>
      <c r="AM109" s="106"/>
      <c r="AN109" s="288"/>
      <c r="AO109" s="105"/>
      <c r="AP109" s="105"/>
      <c r="AQ109" s="105"/>
      <c r="AR109" s="123" t="str">
        <f t="shared" si="25"/>
        <v>0</v>
      </c>
      <c r="AS109" s="123" t="str">
        <f t="shared" ref="AS109:AS114" si="26">IFERROR(AM109/AG109,"0")</f>
        <v>0</v>
      </c>
      <c r="AT109" s="123" t="str">
        <f t="shared" si="18"/>
        <v>0</v>
      </c>
      <c r="AU109" s="123" t="str">
        <f t="shared" ref="AU109:AU114" si="27">IFERROR(AP109/AJ109,"0")</f>
        <v>0</v>
      </c>
      <c r="AV109" s="123" t="str">
        <f t="shared" ref="AV109:AV114" si="28">IFERROR(AQ109/AK109,"0")</f>
        <v>0</v>
      </c>
      <c r="AW109" s="105"/>
      <c r="AX109" s="105"/>
      <c r="AY109" s="105"/>
      <c r="AZ109" s="105"/>
      <c r="BA109" s="105"/>
      <c r="BB109" s="105"/>
      <c r="BC109" s="105"/>
      <c r="BD109" s="105"/>
      <c r="BE109" s="105"/>
      <c r="BF109" s="105"/>
      <c r="BG109" s="105"/>
      <c r="BH109" s="105"/>
      <c r="BI109" s="105"/>
      <c r="BJ109" s="105"/>
      <c r="BK109" s="105"/>
      <c r="BL109" s="105"/>
      <c r="BM109" s="105"/>
      <c r="BN109" s="105"/>
      <c r="BO109" s="105"/>
      <c r="BP109" s="105"/>
      <c r="BQ109" s="105"/>
      <c r="BR109" s="105"/>
      <c r="BS109" s="105"/>
      <c r="BT109" s="105"/>
      <c r="BU109" s="99"/>
      <c r="BV109" s="99"/>
      <c r="BW109" s="99"/>
      <c r="BX109" s="99"/>
      <c r="BY109" s="99"/>
      <c r="BZ109" s="99"/>
      <c r="CA109" s="99"/>
      <c r="CB109" s="99"/>
      <c r="CC109" s="99"/>
      <c r="CD109" s="99"/>
      <c r="CE109" s="99"/>
      <c r="CF109" s="99"/>
      <c r="CG109" s="99"/>
      <c r="CH109" s="504">
        <f t="shared" si="20"/>
        <v>0</v>
      </c>
      <c r="CI109" s="107"/>
      <c r="CJ109" s="102"/>
      <c r="CK109" s="102"/>
      <c r="CL109" s="102"/>
      <c r="CM109" s="102"/>
      <c r="CN109" s="102"/>
      <c r="CO109" s="102"/>
      <c r="CP109" s="108"/>
      <c r="CQ109" s="97"/>
    </row>
    <row r="110" spans="2:95" ht="39" customHeight="1" x14ac:dyDescent="0.3">
      <c r="B110" s="97"/>
      <c r="C110" s="98"/>
      <c r="D110" s="97"/>
      <c r="E110" s="99"/>
      <c r="F110" s="99" t="s">
        <v>377</v>
      </c>
      <c r="G110" s="97"/>
      <c r="H110" s="100" t="s">
        <v>377</v>
      </c>
      <c r="I110" s="101"/>
      <c r="J110" s="99"/>
      <c r="K110" s="102"/>
      <c r="L110" s="103"/>
      <c r="M110" s="103"/>
      <c r="N110" s="103"/>
      <c r="O110" s="103"/>
      <c r="P110" s="99" t="s">
        <v>377</v>
      </c>
      <c r="Q110" s="99" t="s">
        <v>377</v>
      </c>
      <c r="R110" s="99" t="s">
        <v>377</v>
      </c>
      <c r="S110" s="99" t="s">
        <v>377</v>
      </c>
      <c r="T110" s="99" t="s">
        <v>377</v>
      </c>
      <c r="U110" s="99" t="s">
        <v>377</v>
      </c>
      <c r="V110" s="99" t="s">
        <v>377</v>
      </c>
      <c r="W110" s="99" t="s">
        <v>377</v>
      </c>
      <c r="X110" s="99" t="s">
        <v>377</v>
      </c>
      <c r="Y110" s="99" t="s">
        <v>377</v>
      </c>
      <c r="Z110" s="99" t="s">
        <v>377</v>
      </c>
      <c r="AA110" s="99" t="s">
        <v>377</v>
      </c>
      <c r="AB110" s="99" t="s">
        <v>377</v>
      </c>
      <c r="AC110" s="99" t="s">
        <v>377</v>
      </c>
      <c r="AD110" s="104" t="s">
        <v>377</v>
      </c>
      <c r="AE110" s="103" t="s">
        <v>377</v>
      </c>
      <c r="AF110" s="103"/>
      <c r="AG110" s="105"/>
      <c r="AH110" s="105"/>
      <c r="AI110" s="105"/>
      <c r="AJ110" s="105"/>
      <c r="AK110" s="105"/>
      <c r="AL110" s="105"/>
      <c r="AM110" s="106"/>
      <c r="AN110" s="288"/>
      <c r="AO110" s="105"/>
      <c r="AP110" s="105"/>
      <c r="AQ110" s="105"/>
      <c r="AR110" s="123" t="str">
        <f t="shared" si="25"/>
        <v>0</v>
      </c>
      <c r="AS110" s="123" t="str">
        <f t="shared" si="26"/>
        <v>0</v>
      </c>
      <c r="AT110" s="123" t="str">
        <f t="shared" si="18"/>
        <v>0</v>
      </c>
      <c r="AU110" s="123" t="str">
        <f t="shared" si="27"/>
        <v>0</v>
      </c>
      <c r="AV110" s="123" t="str">
        <f t="shared" si="28"/>
        <v>0</v>
      </c>
      <c r="AW110" s="105"/>
      <c r="AX110" s="105"/>
      <c r="AY110" s="105"/>
      <c r="AZ110" s="105"/>
      <c r="BA110" s="105"/>
      <c r="BB110" s="105"/>
      <c r="BC110" s="105"/>
      <c r="BD110" s="105"/>
      <c r="BE110" s="105"/>
      <c r="BF110" s="105"/>
      <c r="BG110" s="105"/>
      <c r="BH110" s="105"/>
      <c r="BI110" s="105"/>
      <c r="BJ110" s="105"/>
      <c r="BK110" s="105"/>
      <c r="BL110" s="105"/>
      <c r="BM110" s="105"/>
      <c r="BN110" s="105"/>
      <c r="BO110" s="105"/>
      <c r="BP110" s="105"/>
      <c r="BQ110" s="105"/>
      <c r="BR110" s="105"/>
      <c r="BS110" s="105"/>
      <c r="BT110" s="105"/>
      <c r="BU110" s="99"/>
      <c r="BV110" s="99"/>
      <c r="BW110" s="99"/>
      <c r="BX110" s="99"/>
      <c r="BY110" s="99"/>
      <c r="BZ110" s="99"/>
      <c r="CA110" s="99"/>
      <c r="CB110" s="99"/>
      <c r="CC110" s="99"/>
      <c r="CD110" s="99"/>
      <c r="CE110" s="99"/>
      <c r="CF110" s="99"/>
      <c r="CG110" s="99"/>
      <c r="CH110" s="504">
        <f t="shared" si="20"/>
        <v>0</v>
      </c>
      <c r="CI110" s="107"/>
      <c r="CJ110" s="102"/>
      <c r="CK110" s="102"/>
      <c r="CL110" s="102"/>
      <c r="CM110" s="102"/>
      <c r="CN110" s="102"/>
      <c r="CO110" s="102"/>
      <c r="CP110" s="108"/>
      <c r="CQ110" s="97"/>
    </row>
    <row r="111" spans="2:95" ht="39" customHeight="1" x14ac:dyDescent="0.3">
      <c r="B111" s="97"/>
      <c r="C111" s="98"/>
      <c r="D111" s="97"/>
      <c r="E111" s="99"/>
      <c r="F111" s="99" t="s">
        <v>377</v>
      </c>
      <c r="G111" s="97"/>
      <c r="H111" s="100" t="s">
        <v>377</v>
      </c>
      <c r="I111" s="101"/>
      <c r="J111" s="99"/>
      <c r="K111" s="102"/>
      <c r="L111" s="103"/>
      <c r="M111" s="103"/>
      <c r="N111" s="103"/>
      <c r="O111" s="103"/>
      <c r="P111" s="99" t="s">
        <v>377</v>
      </c>
      <c r="Q111" s="99" t="s">
        <v>377</v>
      </c>
      <c r="R111" s="99" t="s">
        <v>377</v>
      </c>
      <c r="S111" s="99" t="s">
        <v>377</v>
      </c>
      <c r="T111" s="99" t="s">
        <v>377</v>
      </c>
      <c r="U111" s="99" t="s">
        <v>377</v>
      </c>
      <c r="V111" s="99" t="s">
        <v>377</v>
      </c>
      <c r="W111" s="99" t="s">
        <v>377</v>
      </c>
      <c r="X111" s="99" t="s">
        <v>377</v>
      </c>
      <c r="Y111" s="99" t="s">
        <v>377</v>
      </c>
      <c r="Z111" s="99" t="s">
        <v>377</v>
      </c>
      <c r="AA111" s="99" t="s">
        <v>377</v>
      </c>
      <c r="AB111" s="99" t="s">
        <v>377</v>
      </c>
      <c r="AC111" s="99" t="s">
        <v>377</v>
      </c>
      <c r="AD111" s="104" t="s">
        <v>377</v>
      </c>
      <c r="AE111" s="103" t="s">
        <v>377</v>
      </c>
      <c r="AF111" s="103"/>
      <c r="AG111" s="105"/>
      <c r="AH111" s="105"/>
      <c r="AI111" s="105"/>
      <c r="AJ111" s="105"/>
      <c r="AK111" s="105"/>
      <c r="AL111" s="105"/>
      <c r="AM111" s="106"/>
      <c r="AN111" s="288"/>
      <c r="AO111" s="105"/>
      <c r="AP111" s="105"/>
      <c r="AQ111" s="105"/>
      <c r="AR111" s="123" t="str">
        <f t="shared" si="25"/>
        <v>0</v>
      </c>
      <c r="AS111" s="123" t="str">
        <f t="shared" si="26"/>
        <v>0</v>
      </c>
      <c r="AT111" s="123" t="str">
        <f t="shared" si="18"/>
        <v>0</v>
      </c>
      <c r="AU111" s="123" t="str">
        <f t="shared" si="27"/>
        <v>0</v>
      </c>
      <c r="AV111" s="123" t="str">
        <f t="shared" si="28"/>
        <v>0</v>
      </c>
      <c r="AW111" s="105"/>
      <c r="AX111" s="105"/>
      <c r="AY111" s="105"/>
      <c r="AZ111" s="105"/>
      <c r="BA111" s="105"/>
      <c r="BB111" s="105"/>
      <c r="BC111" s="105"/>
      <c r="BD111" s="105"/>
      <c r="BE111" s="105"/>
      <c r="BF111" s="105"/>
      <c r="BG111" s="105"/>
      <c r="BH111" s="105"/>
      <c r="BI111" s="105"/>
      <c r="BJ111" s="105"/>
      <c r="BK111" s="105"/>
      <c r="BL111" s="105"/>
      <c r="BM111" s="105"/>
      <c r="BN111" s="105"/>
      <c r="BO111" s="105"/>
      <c r="BP111" s="105"/>
      <c r="BQ111" s="105"/>
      <c r="BR111" s="105"/>
      <c r="BS111" s="105"/>
      <c r="BT111" s="105"/>
      <c r="BU111" s="99"/>
      <c r="BV111" s="99"/>
      <c r="BW111" s="99"/>
      <c r="BX111" s="99"/>
      <c r="BY111" s="99"/>
      <c r="BZ111" s="99"/>
      <c r="CA111" s="99"/>
      <c r="CB111" s="99"/>
      <c r="CC111" s="99"/>
      <c r="CD111" s="99"/>
      <c r="CE111" s="99"/>
      <c r="CF111" s="99"/>
      <c r="CG111" s="99"/>
      <c r="CH111" s="504">
        <f t="shared" si="20"/>
        <v>0</v>
      </c>
      <c r="CI111" s="107"/>
      <c r="CJ111" s="102"/>
      <c r="CK111" s="102"/>
      <c r="CL111" s="102"/>
      <c r="CM111" s="102"/>
      <c r="CN111" s="102"/>
      <c r="CO111" s="102"/>
      <c r="CP111" s="108"/>
      <c r="CQ111" s="97"/>
    </row>
    <row r="112" spans="2:95" ht="39" customHeight="1" x14ac:dyDescent="0.3">
      <c r="B112" s="97"/>
      <c r="C112" s="98"/>
      <c r="D112" s="97"/>
      <c r="E112" s="99"/>
      <c r="F112" s="99" t="s">
        <v>377</v>
      </c>
      <c r="G112" s="97"/>
      <c r="H112" s="100" t="s">
        <v>377</v>
      </c>
      <c r="I112" s="101"/>
      <c r="J112" s="99"/>
      <c r="K112" s="102"/>
      <c r="L112" s="103"/>
      <c r="M112" s="103"/>
      <c r="N112" s="103"/>
      <c r="O112" s="103"/>
      <c r="P112" s="99" t="s">
        <v>377</v>
      </c>
      <c r="Q112" s="99" t="s">
        <v>377</v>
      </c>
      <c r="R112" s="99" t="s">
        <v>377</v>
      </c>
      <c r="S112" s="99" t="s">
        <v>377</v>
      </c>
      <c r="T112" s="99" t="s">
        <v>377</v>
      </c>
      <c r="U112" s="99" t="s">
        <v>377</v>
      </c>
      <c r="V112" s="99" t="s">
        <v>377</v>
      </c>
      <c r="W112" s="99" t="s">
        <v>377</v>
      </c>
      <c r="X112" s="99" t="s">
        <v>377</v>
      </c>
      <c r="Y112" s="99" t="s">
        <v>377</v>
      </c>
      <c r="Z112" s="99" t="s">
        <v>377</v>
      </c>
      <c r="AA112" s="99" t="s">
        <v>377</v>
      </c>
      <c r="AB112" s="99" t="s">
        <v>377</v>
      </c>
      <c r="AC112" s="99" t="s">
        <v>377</v>
      </c>
      <c r="AD112" s="104" t="s">
        <v>377</v>
      </c>
      <c r="AE112" s="103" t="s">
        <v>377</v>
      </c>
      <c r="AF112" s="103"/>
      <c r="AG112" s="105"/>
      <c r="AH112" s="105"/>
      <c r="AI112" s="105"/>
      <c r="AJ112" s="105"/>
      <c r="AK112" s="105"/>
      <c r="AL112" s="105"/>
      <c r="AM112" s="106"/>
      <c r="AN112" s="288"/>
      <c r="AO112" s="105"/>
      <c r="AP112" s="105"/>
      <c r="AQ112" s="105"/>
      <c r="AR112" s="123" t="str">
        <f t="shared" si="25"/>
        <v>0</v>
      </c>
      <c r="AS112" s="123" t="str">
        <f t="shared" si="26"/>
        <v>0</v>
      </c>
      <c r="AT112" s="123" t="str">
        <f t="shared" si="18"/>
        <v>0</v>
      </c>
      <c r="AU112" s="123" t="str">
        <f t="shared" si="27"/>
        <v>0</v>
      </c>
      <c r="AV112" s="123" t="str">
        <f t="shared" si="28"/>
        <v>0</v>
      </c>
      <c r="AW112" s="105"/>
      <c r="AX112" s="105"/>
      <c r="AY112" s="105"/>
      <c r="AZ112" s="105"/>
      <c r="BA112" s="105"/>
      <c r="BB112" s="105"/>
      <c r="BC112" s="105"/>
      <c r="BD112" s="105"/>
      <c r="BE112" s="105"/>
      <c r="BF112" s="105"/>
      <c r="BG112" s="105"/>
      <c r="BH112" s="105"/>
      <c r="BI112" s="105"/>
      <c r="BJ112" s="105"/>
      <c r="BK112" s="105"/>
      <c r="BL112" s="105"/>
      <c r="BM112" s="105"/>
      <c r="BN112" s="105"/>
      <c r="BO112" s="105"/>
      <c r="BP112" s="105"/>
      <c r="BQ112" s="105"/>
      <c r="BR112" s="105"/>
      <c r="BS112" s="105"/>
      <c r="BT112" s="105"/>
      <c r="BU112" s="99"/>
      <c r="BV112" s="99"/>
      <c r="BW112" s="99"/>
      <c r="BX112" s="99"/>
      <c r="BY112" s="99"/>
      <c r="BZ112" s="99"/>
      <c r="CA112" s="99"/>
      <c r="CB112" s="99"/>
      <c r="CC112" s="99"/>
      <c r="CD112" s="99"/>
      <c r="CE112" s="99"/>
      <c r="CF112" s="99"/>
      <c r="CG112" s="99"/>
      <c r="CH112" s="504">
        <f t="shared" si="20"/>
        <v>0</v>
      </c>
      <c r="CI112" s="107"/>
      <c r="CJ112" s="102"/>
      <c r="CK112" s="102"/>
      <c r="CL112" s="102"/>
      <c r="CM112" s="102"/>
      <c r="CN112" s="102"/>
      <c r="CO112" s="102"/>
      <c r="CP112" s="108"/>
      <c r="CQ112" s="97"/>
    </row>
    <row r="113" spans="2:95" ht="39" customHeight="1" x14ac:dyDescent="0.3">
      <c r="B113" s="97"/>
      <c r="C113" s="98"/>
      <c r="D113" s="97"/>
      <c r="E113" s="99"/>
      <c r="F113" s="99" t="s">
        <v>377</v>
      </c>
      <c r="G113" s="97"/>
      <c r="H113" s="100" t="s">
        <v>377</v>
      </c>
      <c r="I113" s="101"/>
      <c r="J113" s="99"/>
      <c r="K113" s="102"/>
      <c r="L113" s="103"/>
      <c r="M113" s="103"/>
      <c r="N113" s="103"/>
      <c r="O113" s="103"/>
      <c r="P113" s="99" t="s">
        <v>377</v>
      </c>
      <c r="Q113" s="99" t="s">
        <v>377</v>
      </c>
      <c r="R113" s="99" t="s">
        <v>377</v>
      </c>
      <c r="S113" s="99" t="s">
        <v>377</v>
      </c>
      <c r="T113" s="99" t="s">
        <v>377</v>
      </c>
      <c r="U113" s="99" t="s">
        <v>377</v>
      </c>
      <c r="V113" s="99" t="s">
        <v>377</v>
      </c>
      <c r="W113" s="99" t="s">
        <v>377</v>
      </c>
      <c r="X113" s="99" t="s">
        <v>377</v>
      </c>
      <c r="Y113" s="99" t="s">
        <v>377</v>
      </c>
      <c r="Z113" s="99" t="s">
        <v>377</v>
      </c>
      <c r="AA113" s="99" t="s">
        <v>377</v>
      </c>
      <c r="AB113" s="99" t="s">
        <v>377</v>
      </c>
      <c r="AC113" s="99" t="s">
        <v>377</v>
      </c>
      <c r="AD113" s="104" t="s">
        <v>377</v>
      </c>
      <c r="AE113" s="103" t="s">
        <v>377</v>
      </c>
      <c r="AF113" s="103"/>
      <c r="AG113" s="105"/>
      <c r="AH113" s="105"/>
      <c r="AI113" s="105"/>
      <c r="AJ113" s="105"/>
      <c r="AK113" s="105"/>
      <c r="AL113" s="105"/>
      <c r="AM113" s="106"/>
      <c r="AN113" s="288"/>
      <c r="AO113" s="105"/>
      <c r="AP113" s="105"/>
      <c r="AQ113" s="105"/>
      <c r="AR113" s="123" t="str">
        <f t="shared" si="25"/>
        <v>0</v>
      </c>
      <c r="AS113" s="123" t="str">
        <f t="shared" si="26"/>
        <v>0</v>
      </c>
      <c r="AT113" s="123" t="str">
        <f t="shared" si="18"/>
        <v>0</v>
      </c>
      <c r="AU113" s="123" t="str">
        <f t="shared" si="27"/>
        <v>0</v>
      </c>
      <c r="AV113" s="123" t="str">
        <f t="shared" si="28"/>
        <v>0</v>
      </c>
      <c r="AW113" s="105"/>
      <c r="AX113" s="105"/>
      <c r="AY113" s="105"/>
      <c r="AZ113" s="105"/>
      <c r="BA113" s="105"/>
      <c r="BB113" s="105"/>
      <c r="BC113" s="105"/>
      <c r="BD113" s="105"/>
      <c r="BE113" s="105"/>
      <c r="BF113" s="105"/>
      <c r="BG113" s="105"/>
      <c r="BH113" s="105"/>
      <c r="BI113" s="105"/>
      <c r="BJ113" s="105"/>
      <c r="BK113" s="105"/>
      <c r="BL113" s="105"/>
      <c r="BM113" s="105"/>
      <c r="BN113" s="105"/>
      <c r="BO113" s="105"/>
      <c r="BP113" s="105"/>
      <c r="BQ113" s="105"/>
      <c r="BR113" s="105"/>
      <c r="BS113" s="105"/>
      <c r="BT113" s="105"/>
      <c r="BU113" s="99"/>
      <c r="BV113" s="99"/>
      <c r="BW113" s="99"/>
      <c r="BX113" s="99"/>
      <c r="BY113" s="99"/>
      <c r="BZ113" s="99"/>
      <c r="CA113" s="99"/>
      <c r="CB113" s="99"/>
      <c r="CC113" s="99"/>
      <c r="CD113" s="99"/>
      <c r="CE113" s="99"/>
      <c r="CF113" s="99"/>
      <c r="CG113" s="99"/>
      <c r="CH113" s="504">
        <f t="shared" si="20"/>
        <v>0</v>
      </c>
      <c r="CI113" s="107"/>
      <c r="CJ113" s="102"/>
      <c r="CK113" s="102"/>
      <c r="CL113" s="102"/>
      <c r="CM113" s="102"/>
      <c r="CN113" s="102"/>
      <c r="CO113" s="102"/>
      <c r="CP113" s="108"/>
      <c r="CQ113" s="97"/>
    </row>
    <row r="114" spans="2:95" ht="39" customHeight="1" x14ac:dyDescent="0.3">
      <c r="B114" s="97"/>
      <c r="C114" s="98"/>
      <c r="D114" s="97"/>
      <c r="E114" s="99"/>
      <c r="F114" s="99" t="s">
        <v>377</v>
      </c>
      <c r="G114" s="97"/>
      <c r="H114" s="100" t="s">
        <v>377</v>
      </c>
      <c r="I114" s="101"/>
      <c r="J114" s="99"/>
      <c r="K114" s="102"/>
      <c r="L114" s="103"/>
      <c r="M114" s="103"/>
      <c r="N114" s="103"/>
      <c r="O114" s="103"/>
      <c r="P114" s="99" t="s">
        <v>377</v>
      </c>
      <c r="Q114" s="99" t="s">
        <v>377</v>
      </c>
      <c r="R114" s="99" t="s">
        <v>377</v>
      </c>
      <c r="S114" s="99" t="s">
        <v>377</v>
      </c>
      <c r="T114" s="99" t="s">
        <v>377</v>
      </c>
      <c r="U114" s="99" t="s">
        <v>377</v>
      </c>
      <c r="V114" s="99" t="s">
        <v>377</v>
      </c>
      <c r="W114" s="99" t="s">
        <v>377</v>
      </c>
      <c r="X114" s="99" t="s">
        <v>377</v>
      </c>
      <c r="Y114" s="99" t="s">
        <v>377</v>
      </c>
      <c r="Z114" s="99" t="s">
        <v>377</v>
      </c>
      <c r="AA114" s="99" t="s">
        <v>377</v>
      </c>
      <c r="AB114" s="99" t="s">
        <v>377</v>
      </c>
      <c r="AC114" s="99" t="s">
        <v>377</v>
      </c>
      <c r="AD114" s="104" t="s">
        <v>377</v>
      </c>
      <c r="AE114" s="103" t="s">
        <v>377</v>
      </c>
      <c r="AF114" s="103"/>
      <c r="AG114" s="105"/>
      <c r="AH114" s="105"/>
      <c r="AI114" s="105"/>
      <c r="AJ114" s="105"/>
      <c r="AK114" s="105"/>
      <c r="AL114" s="105"/>
      <c r="AM114" s="106"/>
      <c r="AN114" s="288"/>
      <c r="AO114" s="105"/>
      <c r="AP114" s="105"/>
      <c r="AQ114" s="105"/>
      <c r="AR114" s="123" t="str">
        <f t="shared" si="25"/>
        <v>0</v>
      </c>
      <c r="AS114" s="123" t="str">
        <f t="shared" si="26"/>
        <v>0</v>
      </c>
      <c r="AT114" s="123" t="str">
        <f t="shared" si="18"/>
        <v>0</v>
      </c>
      <c r="AU114" s="123" t="str">
        <f t="shared" si="27"/>
        <v>0</v>
      </c>
      <c r="AV114" s="123" t="str">
        <f t="shared" si="28"/>
        <v>0</v>
      </c>
      <c r="AW114" s="105"/>
      <c r="AX114" s="105"/>
      <c r="AY114" s="105"/>
      <c r="AZ114" s="105"/>
      <c r="BA114" s="105"/>
      <c r="BB114" s="105"/>
      <c r="BC114" s="105"/>
      <c r="BD114" s="105"/>
      <c r="BE114" s="105"/>
      <c r="BF114" s="105"/>
      <c r="BG114" s="105"/>
      <c r="BH114" s="105"/>
      <c r="BI114" s="105"/>
      <c r="BJ114" s="105"/>
      <c r="BK114" s="105"/>
      <c r="BL114" s="105"/>
      <c r="BM114" s="105"/>
      <c r="BN114" s="105"/>
      <c r="BO114" s="105"/>
      <c r="BP114" s="105"/>
      <c r="BQ114" s="105"/>
      <c r="BR114" s="105"/>
      <c r="BS114" s="105"/>
      <c r="BT114" s="105"/>
      <c r="BU114" s="99"/>
      <c r="BV114" s="99"/>
      <c r="BW114" s="99"/>
      <c r="BX114" s="99"/>
      <c r="BY114" s="99"/>
      <c r="BZ114" s="99"/>
      <c r="CA114" s="99"/>
      <c r="CB114" s="99"/>
      <c r="CC114" s="99"/>
      <c r="CD114" s="99"/>
      <c r="CE114" s="99"/>
      <c r="CF114" s="99"/>
      <c r="CG114" s="99"/>
      <c r="CH114" s="504">
        <f t="shared" si="20"/>
        <v>0</v>
      </c>
      <c r="CI114" s="107"/>
      <c r="CJ114" s="102"/>
      <c r="CK114" s="102"/>
      <c r="CL114" s="102"/>
      <c r="CM114" s="102"/>
      <c r="CN114" s="102"/>
      <c r="CO114" s="102"/>
      <c r="CP114" s="108"/>
      <c r="CQ114" s="97"/>
    </row>
    <row r="115" spans="2:95" ht="39" customHeight="1" x14ac:dyDescent="0.3">
      <c r="B115" s="97"/>
      <c r="C115" s="98"/>
      <c r="D115" s="97"/>
      <c r="E115" s="99"/>
      <c r="F115" s="99" t="s">
        <v>377</v>
      </c>
      <c r="G115" s="97"/>
      <c r="H115" s="100" t="s">
        <v>377</v>
      </c>
      <c r="I115" s="101"/>
      <c r="J115" s="99"/>
      <c r="K115" s="102"/>
      <c r="L115" s="103"/>
      <c r="M115" s="103"/>
      <c r="N115" s="103"/>
      <c r="O115" s="103"/>
      <c r="P115" s="99" t="s">
        <v>377</v>
      </c>
      <c r="Q115" s="99" t="s">
        <v>377</v>
      </c>
      <c r="R115" s="99" t="s">
        <v>377</v>
      </c>
      <c r="S115" s="99" t="s">
        <v>377</v>
      </c>
      <c r="T115" s="99" t="s">
        <v>377</v>
      </c>
      <c r="U115" s="99" t="s">
        <v>377</v>
      </c>
      <c r="V115" s="99" t="s">
        <v>377</v>
      </c>
      <c r="W115" s="99" t="s">
        <v>377</v>
      </c>
      <c r="X115" s="99" t="s">
        <v>377</v>
      </c>
      <c r="Y115" s="99" t="s">
        <v>377</v>
      </c>
      <c r="Z115" s="99" t="s">
        <v>377</v>
      </c>
      <c r="AA115" s="99" t="s">
        <v>377</v>
      </c>
      <c r="AB115" s="99" t="s">
        <v>377</v>
      </c>
      <c r="AC115" s="99" t="s">
        <v>377</v>
      </c>
      <c r="AD115" s="104" t="s">
        <v>377</v>
      </c>
      <c r="AE115" s="103" t="s">
        <v>377</v>
      </c>
      <c r="AF115" s="103"/>
      <c r="AG115" s="105"/>
      <c r="AH115" s="105"/>
      <c r="AI115" s="105"/>
      <c r="AJ115" s="105"/>
      <c r="AK115" s="105"/>
      <c r="AL115" s="105"/>
      <c r="AM115" s="106"/>
      <c r="AN115" s="288"/>
      <c r="AO115" s="105"/>
      <c r="AP115" s="105"/>
      <c r="AQ115" s="105"/>
      <c r="AR115" s="124"/>
      <c r="AS115" s="124"/>
      <c r="AT115" s="124"/>
      <c r="AU115" s="124"/>
      <c r="AV115" s="124"/>
      <c r="AW115" s="105"/>
      <c r="AX115" s="105"/>
      <c r="AY115" s="105"/>
      <c r="AZ115" s="105"/>
      <c r="BA115" s="105"/>
      <c r="BB115" s="105"/>
      <c r="BC115" s="105"/>
      <c r="BD115" s="105"/>
      <c r="BE115" s="105"/>
      <c r="BF115" s="105"/>
      <c r="BG115" s="105"/>
      <c r="BH115" s="105"/>
      <c r="BI115" s="105"/>
      <c r="BJ115" s="105"/>
      <c r="BK115" s="105"/>
      <c r="BL115" s="105"/>
      <c r="BM115" s="105"/>
      <c r="BN115" s="105"/>
      <c r="BO115" s="105"/>
      <c r="BP115" s="105"/>
      <c r="BQ115" s="105"/>
      <c r="BR115" s="105"/>
      <c r="BS115" s="105"/>
      <c r="BT115" s="105"/>
      <c r="BU115" s="99"/>
      <c r="BV115" s="99"/>
      <c r="BW115" s="99"/>
      <c r="BX115" s="99"/>
      <c r="BY115" s="99"/>
      <c r="BZ115" s="99"/>
      <c r="CA115" s="99"/>
      <c r="CB115" s="99"/>
      <c r="CC115" s="99"/>
      <c r="CD115" s="99"/>
      <c r="CE115" s="99"/>
      <c r="CF115" s="99"/>
      <c r="CG115" s="99"/>
      <c r="CH115" s="504">
        <f t="shared" si="20"/>
        <v>0</v>
      </c>
      <c r="CI115" s="107"/>
      <c r="CJ115" s="102"/>
      <c r="CK115" s="102"/>
      <c r="CL115" s="102"/>
      <c r="CM115" s="102"/>
      <c r="CN115" s="102"/>
      <c r="CO115" s="102"/>
      <c r="CP115" s="108"/>
      <c r="CQ115" s="97"/>
    </row>
    <row r="116" spans="2:95" ht="39" customHeight="1" x14ac:dyDescent="0.3">
      <c r="B116" s="97"/>
      <c r="C116" s="98"/>
      <c r="D116" s="97"/>
      <c r="E116" s="99"/>
      <c r="F116" s="99" t="s">
        <v>377</v>
      </c>
      <c r="G116" s="97"/>
      <c r="H116" s="100" t="s">
        <v>377</v>
      </c>
      <c r="I116" s="101"/>
      <c r="J116" s="99"/>
      <c r="K116" s="102"/>
      <c r="L116" s="103"/>
      <c r="M116" s="103"/>
      <c r="N116" s="103"/>
      <c r="O116" s="103"/>
      <c r="P116" s="99" t="s">
        <v>377</v>
      </c>
      <c r="Q116" s="99" t="s">
        <v>377</v>
      </c>
      <c r="R116" s="99" t="s">
        <v>377</v>
      </c>
      <c r="S116" s="99" t="s">
        <v>377</v>
      </c>
      <c r="T116" s="99" t="s">
        <v>377</v>
      </c>
      <c r="U116" s="99" t="s">
        <v>377</v>
      </c>
      <c r="V116" s="99" t="s">
        <v>377</v>
      </c>
      <c r="W116" s="99" t="s">
        <v>377</v>
      </c>
      <c r="X116" s="99" t="s">
        <v>377</v>
      </c>
      <c r="Y116" s="99" t="s">
        <v>377</v>
      </c>
      <c r="Z116" s="99" t="s">
        <v>377</v>
      </c>
      <c r="AA116" s="99" t="s">
        <v>377</v>
      </c>
      <c r="AB116" s="99" t="s">
        <v>377</v>
      </c>
      <c r="AC116" s="99" t="s">
        <v>377</v>
      </c>
      <c r="AD116" s="104" t="s">
        <v>377</v>
      </c>
      <c r="AE116" s="103" t="s">
        <v>377</v>
      </c>
      <c r="AF116" s="103"/>
      <c r="AG116" s="105"/>
      <c r="AH116" s="105"/>
      <c r="AI116" s="105"/>
      <c r="AJ116" s="105"/>
      <c r="AK116" s="105"/>
      <c r="AL116" s="105"/>
      <c r="AM116" s="106"/>
      <c r="AN116" s="288"/>
      <c r="AO116" s="105"/>
      <c r="AP116" s="105"/>
      <c r="AQ116" s="105"/>
      <c r="AR116" s="124"/>
      <c r="AS116" s="124"/>
      <c r="AT116" s="124"/>
      <c r="AU116" s="124"/>
      <c r="AV116" s="124"/>
      <c r="AW116" s="105"/>
      <c r="AX116" s="105"/>
      <c r="AY116" s="105"/>
      <c r="AZ116" s="105"/>
      <c r="BA116" s="105"/>
      <c r="BB116" s="105"/>
      <c r="BC116" s="105"/>
      <c r="BD116" s="105"/>
      <c r="BE116" s="105"/>
      <c r="BF116" s="105"/>
      <c r="BG116" s="105"/>
      <c r="BH116" s="105"/>
      <c r="BI116" s="105"/>
      <c r="BJ116" s="105"/>
      <c r="BK116" s="105"/>
      <c r="BL116" s="105"/>
      <c r="BM116" s="105"/>
      <c r="BN116" s="105"/>
      <c r="BO116" s="105"/>
      <c r="BP116" s="105"/>
      <c r="BQ116" s="105"/>
      <c r="BR116" s="105"/>
      <c r="BS116" s="105"/>
      <c r="BT116" s="105"/>
      <c r="BU116" s="99"/>
      <c r="BV116" s="99"/>
      <c r="BW116" s="99"/>
      <c r="BX116" s="99"/>
      <c r="BY116" s="99"/>
      <c r="BZ116" s="99"/>
      <c r="CA116" s="99"/>
      <c r="CB116" s="99"/>
      <c r="CC116" s="99"/>
      <c r="CD116" s="99"/>
      <c r="CE116" s="99"/>
      <c r="CF116" s="99"/>
      <c r="CG116" s="99"/>
      <c r="CH116" s="504">
        <f t="shared" si="20"/>
        <v>0</v>
      </c>
      <c r="CI116" s="107"/>
      <c r="CJ116" s="102"/>
      <c r="CK116" s="102"/>
      <c r="CL116" s="102"/>
      <c r="CM116" s="102"/>
      <c r="CN116" s="102"/>
      <c r="CO116" s="102"/>
      <c r="CP116" s="108"/>
      <c r="CQ116" s="97"/>
    </row>
    <row r="117" spans="2:95" ht="39" customHeight="1" x14ac:dyDescent="0.3">
      <c r="B117" s="97"/>
      <c r="C117" s="98"/>
      <c r="D117" s="97"/>
      <c r="E117" s="99"/>
      <c r="F117" s="99"/>
      <c r="G117" s="97"/>
      <c r="H117" s="100" t="s">
        <v>377</v>
      </c>
      <c r="I117" s="101"/>
      <c r="J117" s="99"/>
      <c r="K117" s="102"/>
      <c r="L117" s="103"/>
      <c r="M117" s="103"/>
      <c r="N117" s="103"/>
      <c r="O117" s="103"/>
      <c r="P117" s="99" t="s">
        <v>377</v>
      </c>
      <c r="Q117" s="99" t="s">
        <v>377</v>
      </c>
      <c r="R117" s="99" t="s">
        <v>377</v>
      </c>
      <c r="S117" s="99" t="s">
        <v>377</v>
      </c>
      <c r="T117" s="99" t="s">
        <v>377</v>
      </c>
      <c r="U117" s="99" t="s">
        <v>377</v>
      </c>
      <c r="V117" s="99" t="s">
        <v>377</v>
      </c>
      <c r="W117" s="99" t="s">
        <v>377</v>
      </c>
      <c r="X117" s="99" t="s">
        <v>377</v>
      </c>
      <c r="Y117" s="99" t="s">
        <v>377</v>
      </c>
      <c r="Z117" s="99" t="s">
        <v>377</v>
      </c>
      <c r="AA117" s="99" t="s">
        <v>377</v>
      </c>
      <c r="AB117" s="99" t="s">
        <v>377</v>
      </c>
      <c r="AC117" s="99" t="s">
        <v>377</v>
      </c>
      <c r="AD117" s="104" t="s">
        <v>377</v>
      </c>
      <c r="AE117" s="103" t="s">
        <v>377</v>
      </c>
      <c r="AF117" s="103"/>
      <c r="AG117" s="105"/>
      <c r="AH117" s="105"/>
      <c r="AI117" s="105"/>
      <c r="AJ117" s="105"/>
      <c r="AK117" s="105"/>
      <c r="AL117" s="105"/>
      <c r="AM117" s="106"/>
      <c r="AN117" s="288"/>
      <c r="AO117" s="105"/>
      <c r="AP117" s="105"/>
      <c r="AQ117" s="105"/>
      <c r="AR117" s="124"/>
      <c r="AS117" s="124"/>
      <c r="AT117" s="124"/>
      <c r="AU117" s="124"/>
      <c r="AV117" s="124"/>
      <c r="AW117" s="105"/>
      <c r="AX117" s="105"/>
      <c r="AY117" s="105"/>
      <c r="AZ117" s="105"/>
      <c r="BA117" s="105"/>
      <c r="BB117" s="105"/>
      <c r="BC117" s="105"/>
      <c r="BD117" s="105"/>
      <c r="BE117" s="105"/>
      <c r="BF117" s="105"/>
      <c r="BG117" s="105"/>
      <c r="BH117" s="105"/>
      <c r="BI117" s="105"/>
      <c r="BJ117" s="105"/>
      <c r="BK117" s="105"/>
      <c r="BL117" s="105"/>
      <c r="BM117" s="105"/>
      <c r="BN117" s="105"/>
      <c r="BO117" s="105"/>
      <c r="BP117" s="105"/>
      <c r="BQ117" s="105"/>
      <c r="BR117" s="105"/>
      <c r="BS117" s="105"/>
      <c r="BT117" s="105"/>
      <c r="BU117" s="99"/>
      <c r="BV117" s="99"/>
      <c r="BW117" s="99"/>
      <c r="BX117" s="99"/>
      <c r="BY117" s="99"/>
      <c r="BZ117" s="99"/>
      <c r="CA117" s="99"/>
      <c r="CB117" s="99"/>
      <c r="CC117" s="99"/>
      <c r="CD117" s="99"/>
      <c r="CE117" s="99"/>
      <c r="CF117" s="99"/>
      <c r="CG117" s="99"/>
      <c r="CH117" s="504">
        <f t="shared" si="20"/>
        <v>0</v>
      </c>
      <c r="CI117" s="107"/>
      <c r="CJ117" s="102"/>
      <c r="CK117" s="102"/>
      <c r="CL117" s="102"/>
      <c r="CM117" s="102"/>
      <c r="CN117" s="102"/>
      <c r="CO117" s="102"/>
      <c r="CP117" s="108"/>
      <c r="CQ117" s="97"/>
    </row>
    <row r="118" spans="2:95" ht="39" customHeight="1" x14ac:dyDescent="0.3">
      <c r="B118" s="97"/>
      <c r="C118" s="98"/>
      <c r="D118" s="97"/>
      <c r="E118" s="99"/>
      <c r="F118" s="99"/>
      <c r="G118" s="97"/>
      <c r="H118" s="100" t="s">
        <v>377</v>
      </c>
      <c r="I118" s="101"/>
      <c r="J118" s="99"/>
      <c r="K118" s="102"/>
      <c r="L118" s="103"/>
      <c r="M118" s="103"/>
      <c r="N118" s="103"/>
      <c r="O118" s="103"/>
      <c r="P118" s="99" t="s">
        <v>377</v>
      </c>
      <c r="Q118" s="99" t="s">
        <v>377</v>
      </c>
      <c r="R118" s="99" t="s">
        <v>377</v>
      </c>
      <c r="S118" s="99" t="s">
        <v>377</v>
      </c>
      <c r="T118" s="99" t="s">
        <v>377</v>
      </c>
      <c r="U118" s="99" t="s">
        <v>377</v>
      </c>
      <c r="V118" s="99" t="s">
        <v>377</v>
      </c>
      <c r="W118" s="99" t="s">
        <v>377</v>
      </c>
      <c r="X118" s="99" t="s">
        <v>377</v>
      </c>
      <c r="Y118" s="99" t="s">
        <v>377</v>
      </c>
      <c r="Z118" s="99" t="s">
        <v>377</v>
      </c>
      <c r="AA118" s="99" t="s">
        <v>377</v>
      </c>
      <c r="AB118" s="99" t="s">
        <v>377</v>
      </c>
      <c r="AC118" s="99" t="s">
        <v>377</v>
      </c>
      <c r="AD118" s="104" t="s">
        <v>377</v>
      </c>
      <c r="AE118" s="103" t="s">
        <v>377</v>
      </c>
      <c r="AF118" s="103"/>
      <c r="AG118" s="105"/>
      <c r="AH118" s="105"/>
      <c r="AI118" s="105"/>
      <c r="AJ118" s="105"/>
      <c r="AK118" s="105"/>
      <c r="AL118" s="105"/>
      <c r="AM118" s="106"/>
      <c r="AN118" s="288"/>
      <c r="AO118" s="105"/>
      <c r="AP118" s="105"/>
      <c r="AQ118" s="105"/>
      <c r="AR118" s="124"/>
      <c r="AS118" s="124"/>
      <c r="AT118" s="124"/>
      <c r="AU118" s="124"/>
      <c r="AV118" s="124"/>
      <c r="AW118" s="105"/>
      <c r="AX118" s="105"/>
      <c r="AY118" s="105"/>
      <c r="AZ118" s="105"/>
      <c r="BA118" s="105"/>
      <c r="BB118" s="105"/>
      <c r="BC118" s="105"/>
      <c r="BD118" s="105"/>
      <c r="BE118" s="105"/>
      <c r="BF118" s="105"/>
      <c r="BG118" s="105"/>
      <c r="BH118" s="105"/>
      <c r="BI118" s="105"/>
      <c r="BJ118" s="105"/>
      <c r="BK118" s="105"/>
      <c r="BL118" s="105"/>
      <c r="BM118" s="105"/>
      <c r="BN118" s="105"/>
      <c r="BO118" s="105"/>
      <c r="BP118" s="105"/>
      <c r="BQ118" s="105"/>
      <c r="BR118" s="105"/>
      <c r="BS118" s="105"/>
      <c r="BT118" s="105"/>
      <c r="BU118" s="99"/>
      <c r="BV118" s="99"/>
      <c r="BW118" s="99"/>
      <c r="BX118" s="99"/>
      <c r="BY118" s="99"/>
      <c r="BZ118" s="99"/>
      <c r="CA118" s="99"/>
      <c r="CB118" s="99"/>
      <c r="CC118" s="99"/>
      <c r="CD118" s="99"/>
      <c r="CE118" s="99"/>
      <c r="CF118" s="99"/>
      <c r="CG118" s="99"/>
      <c r="CH118" s="504">
        <f t="shared" si="20"/>
        <v>0</v>
      </c>
      <c r="CI118" s="107"/>
      <c r="CJ118" s="102"/>
      <c r="CK118" s="102"/>
      <c r="CL118" s="102"/>
      <c r="CM118" s="102"/>
      <c r="CN118" s="102"/>
      <c r="CO118" s="102"/>
      <c r="CP118" s="108"/>
      <c r="CQ118" s="97"/>
    </row>
    <row r="119" spans="2:95" ht="39" customHeight="1" x14ac:dyDescent="0.3">
      <c r="B119" s="97"/>
      <c r="C119" s="98"/>
      <c r="D119" s="97"/>
      <c r="E119" s="99"/>
      <c r="F119" s="99"/>
      <c r="G119" s="97"/>
      <c r="H119" s="100" t="s">
        <v>377</v>
      </c>
      <c r="I119" s="101"/>
      <c r="J119" s="99"/>
      <c r="K119" s="102"/>
      <c r="L119" s="103"/>
      <c r="M119" s="103"/>
      <c r="N119" s="103"/>
      <c r="O119" s="103"/>
      <c r="P119" s="99" t="s">
        <v>377</v>
      </c>
      <c r="Q119" s="99" t="s">
        <v>377</v>
      </c>
      <c r="R119" s="99" t="s">
        <v>377</v>
      </c>
      <c r="S119" s="99" t="s">
        <v>377</v>
      </c>
      <c r="T119" s="99" t="s">
        <v>377</v>
      </c>
      <c r="U119" s="99" t="s">
        <v>377</v>
      </c>
      <c r="V119" s="99" t="s">
        <v>377</v>
      </c>
      <c r="W119" s="99" t="s">
        <v>377</v>
      </c>
      <c r="X119" s="99" t="s">
        <v>377</v>
      </c>
      <c r="Y119" s="99" t="s">
        <v>377</v>
      </c>
      <c r="Z119" s="99" t="s">
        <v>377</v>
      </c>
      <c r="AA119" s="99" t="s">
        <v>377</v>
      </c>
      <c r="AB119" s="99" t="s">
        <v>377</v>
      </c>
      <c r="AC119" s="99" t="s">
        <v>377</v>
      </c>
      <c r="AD119" s="104" t="s">
        <v>377</v>
      </c>
      <c r="AE119" s="103" t="s">
        <v>377</v>
      </c>
      <c r="AF119" s="103"/>
      <c r="AG119" s="105"/>
      <c r="AH119" s="105"/>
      <c r="AI119" s="105"/>
      <c r="AJ119" s="105"/>
      <c r="AK119" s="105"/>
      <c r="AL119" s="105"/>
      <c r="AM119" s="106"/>
      <c r="AN119" s="288"/>
      <c r="AO119" s="105"/>
      <c r="AP119" s="105"/>
      <c r="AQ119" s="105"/>
      <c r="AR119" s="124"/>
      <c r="AS119" s="124"/>
      <c r="AT119" s="124"/>
      <c r="AU119" s="124"/>
      <c r="AV119" s="124"/>
      <c r="AW119" s="105"/>
      <c r="AX119" s="105"/>
      <c r="AY119" s="105"/>
      <c r="AZ119" s="105"/>
      <c r="BA119" s="105"/>
      <c r="BB119" s="105"/>
      <c r="BC119" s="105"/>
      <c r="BD119" s="105"/>
      <c r="BE119" s="105"/>
      <c r="BF119" s="105"/>
      <c r="BG119" s="105"/>
      <c r="BH119" s="105"/>
      <c r="BI119" s="105"/>
      <c r="BJ119" s="105"/>
      <c r="BK119" s="105"/>
      <c r="BL119" s="105"/>
      <c r="BM119" s="105"/>
      <c r="BN119" s="105"/>
      <c r="BO119" s="105"/>
      <c r="BP119" s="105"/>
      <c r="BQ119" s="105"/>
      <c r="BR119" s="105"/>
      <c r="BS119" s="105"/>
      <c r="BT119" s="105"/>
      <c r="BU119" s="99"/>
      <c r="BV119" s="99"/>
      <c r="BW119" s="99"/>
      <c r="BX119" s="99"/>
      <c r="BY119" s="99"/>
      <c r="BZ119" s="99"/>
      <c r="CA119" s="99"/>
      <c r="CB119" s="99"/>
      <c r="CC119" s="99"/>
      <c r="CD119" s="99"/>
      <c r="CE119" s="99"/>
      <c r="CF119" s="99"/>
      <c r="CG119" s="99"/>
      <c r="CH119" s="504">
        <f t="shared" si="20"/>
        <v>0</v>
      </c>
      <c r="CI119" s="107"/>
      <c r="CJ119" s="102"/>
      <c r="CK119" s="102"/>
      <c r="CL119" s="102"/>
      <c r="CM119" s="102"/>
      <c r="CN119" s="102"/>
      <c r="CO119" s="102"/>
      <c r="CP119" s="108"/>
      <c r="CQ119" s="97"/>
    </row>
    <row r="120" spans="2:95" ht="39" customHeight="1" x14ac:dyDescent="0.3">
      <c r="B120" s="97"/>
      <c r="C120" s="98"/>
      <c r="D120" s="97"/>
      <c r="E120" s="99"/>
      <c r="F120" s="99"/>
      <c r="G120" s="97"/>
      <c r="H120" s="100" t="s">
        <v>377</v>
      </c>
      <c r="I120" s="101"/>
      <c r="J120" s="99"/>
      <c r="K120" s="102"/>
      <c r="L120" s="103"/>
      <c r="M120" s="103"/>
      <c r="N120" s="103"/>
      <c r="O120" s="103"/>
      <c r="P120" s="99" t="s">
        <v>377</v>
      </c>
      <c r="Q120" s="99" t="s">
        <v>377</v>
      </c>
      <c r="R120" s="99" t="s">
        <v>377</v>
      </c>
      <c r="S120" s="99" t="s">
        <v>377</v>
      </c>
      <c r="T120" s="99" t="s">
        <v>377</v>
      </c>
      <c r="U120" s="99" t="s">
        <v>377</v>
      </c>
      <c r="V120" s="99" t="s">
        <v>377</v>
      </c>
      <c r="W120" s="99" t="s">
        <v>377</v>
      </c>
      <c r="X120" s="99" t="s">
        <v>377</v>
      </c>
      <c r="Y120" s="99" t="s">
        <v>377</v>
      </c>
      <c r="Z120" s="99" t="s">
        <v>377</v>
      </c>
      <c r="AA120" s="99" t="s">
        <v>377</v>
      </c>
      <c r="AB120" s="99" t="s">
        <v>377</v>
      </c>
      <c r="AC120" s="99" t="s">
        <v>377</v>
      </c>
      <c r="AD120" s="104" t="s">
        <v>377</v>
      </c>
      <c r="AE120" s="103" t="s">
        <v>377</v>
      </c>
      <c r="AF120" s="103"/>
      <c r="AG120" s="105"/>
      <c r="AH120" s="105"/>
      <c r="AI120" s="105"/>
      <c r="AJ120" s="105"/>
      <c r="AK120" s="105"/>
      <c r="AL120" s="105"/>
      <c r="AM120" s="106"/>
      <c r="AN120" s="288"/>
      <c r="AO120" s="105"/>
      <c r="AP120" s="105"/>
      <c r="AQ120" s="105"/>
      <c r="AR120" s="124"/>
      <c r="AS120" s="124"/>
      <c r="AT120" s="124"/>
      <c r="AU120" s="124"/>
      <c r="AV120" s="124"/>
      <c r="AW120" s="105"/>
      <c r="AX120" s="105"/>
      <c r="AY120" s="105"/>
      <c r="AZ120" s="105"/>
      <c r="BA120" s="105"/>
      <c r="BB120" s="105"/>
      <c r="BC120" s="105"/>
      <c r="BD120" s="105"/>
      <c r="BE120" s="105"/>
      <c r="BF120" s="105"/>
      <c r="BG120" s="105"/>
      <c r="BH120" s="105"/>
      <c r="BI120" s="105"/>
      <c r="BJ120" s="105"/>
      <c r="BK120" s="105"/>
      <c r="BL120" s="105"/>
      <c r="BM120" s="105"/>
      <c r="BN120" s="105"/>
      <c r="BO120" s="105"/>
      <c r="BP120" s="105"/>
      <c r="BQ120" s="105"/>
      <c r="BR120" s="105"/>
      <c r="BS120" s="105"/>
      <c r="BT120" s="105"/>
      <c r="BU120" s="99"/>
      <c r="BV120" s="99"/>
      <c r="BW120" s="99"/>
      <c r="BX120" s="99"/>
      <c r="BY120" s="99"/>
      <c r="BZ120" s="99"/>
      <c r="CA120" s="99"/>
      <c r="CB120" s="99"/>
      <c r="CC120" s="99"/>
      <c r="CD120" s="99"/>
      <c r="CE120" s="99"/>
      <c r="CF120" s="99"/>
      <c r="CG120" s="99"/>
      <c r="CH120" s="504">
        <f t="shared" si="20"/>
        <v>0</v>
      </c>
      <c r="CI120" s="107"/>
      <c r="CJ120" s="102"/>
      <c r="CK120" s="102"/>
      <c r="CL120" s="102"/>
      <c r="CM120" s="102"/>
      <c r="CN120" s="102"/>
      <c r="CO120" s="102"/>
      <c r="CP120" s="108"/>
      <c r="CQ120" s="97"/>
    </row>
    <row r="121" spans="2:95" ht="39" customHeight="1" x14ac:dyDescent="0.3">
      <c r="B121" s="97"/>
      <c r="C121" s="98"/>
      <c r="D121" s="97"/>
      <c r="E121" s="99"/>
      <c r="F121" s="99"/>
      <c r="G121" s="97"/>
      <c r="H121" s="100" t="s">
        <v>377</v>
      </c>
      <c r="I121" s="101"/>
      <c r="J121" s="99"/>
      <c r="K121" s="102"/>
      <c r="L121" s="103"/>
      <c r="M121" s="103"/>
      <c r="N121" s="103"/>
      <c r="O121" s="103"/>
      <c r="P121" s="99" t="s">
        <v>377</v>
      </c>
      <c r="Q121" s="99" t="s">
        <v>377</v>
      </c>
      <c r="R121" s="99" t="s">
        <v>377</v>
      </c>
      <c r="S121" s="99" t="s">
        <v>377</v>
      </c>
      <c r="T121" s="99" t="s">
        <v>377</v>
      </c>
      <c r="U121" s="99" t="s">
        <v>377</v>
      </c>
      <c r="V121" s="99" t="s">
        <v>377</v>
      </c>
      <c r="W121" s="99" t="s">
        <v>377</v>
      </c>
      <c r="X121" s="99" t="s">
        <v>377</v>
      </c>
      <c r="Y121" s="99" t="s">
        <v>377</v>
      </c>
      <c r="Z121" s="99" t="s">
        <v>377</v>
      </c>
      <c r="AA121" s="99" t="s">
        <v>377</v>
      </c>
      <c r="AB121" s="99" t="s">
        <v>377</v>
      </c>
      <c r="AC121" s="99" t="s">
        <v>377</v>
      </c>
      <c r="AD121" s="104" t="s">
        <v>377</v>
      </c>
      <c r="AE121" s="103" t="s">
        <v>377</v>
      </c>
      <c r="AF121" s="103"/>
      <c r="AG121" s="105"/>
      <c r="AH121" s="105"/>
      <c r="AI121" s="105"/>
      <c r="AJ121" s="105"/>
      <c r="AK121" s="105"/>
      <c r="AL121" s="105"/>
      <c r="AM121" s="106"/>
      <c r="AN121" s="288"/>
      <c r="AO121" s="105"/>
      <c r="AP121" s="105"/>
      <c r="AQ121" s="105"/>
      <c r="AR121" s="124"/>
      <c r="AS121" s="124"/>
      <c r="AT121" s="124"/>
      <c r="AU121" s="124"/>
      <c r="AV121" s="124"/>
      <c r="AW121" s="105"/>
      <c r="AX121" s="105"/>
      <c r="AY121" s="105"/>
      <c r="AZ121" s="105"/>
      <c r="BA121" s="105"/>
      <c r="BB121" s="105"/>
      <c r="BC121" s="105"/>
      <c r="BD121" s="105"/>
      <c r="BE121" s="105"/>
      <c r="BF121" s="105"/>
      <c r="BG121" s="105"/>
      <c r="BH121" s="105"/>
      <c r="BI121" s="105"/>
      <c r="BJ121" s="105"/>
      <c r="BK121" s="105"/>
      <c r="BL121" s="105"/>
      <c r="BM121" s="105"/>
      <c r="BN121" s="105"/>
      <c r="BO121" s="105"/>
      <c r="BP121" s="105"/>
      <c r="BQ121" s="105"/>
      <c r="BR121" s="105"/>
      <c r="BS121" s="105"/>
      <c r="BT121" s="105"/>
      <c r="BU121" s="99"/>
      <c r="BV121" s="99"/>
      <c r="BW121" s="99"/>
      <c r="BX121" s="99"/>
      <c r="BY121" s="99"/>
      <c r="BZ121" s="99"/>
      <c r="CA121" s="99"/>
      <c r="CB121" s="99"/>
      <c r="CC121" s="99"/>
      <c r="CD121" s="99"/>
      <c r="CE121" s="99"/>
      <c r="CF121" s="99"/>
      <c r="CG121" s="99"/>
      <c r="CH121" s="504">
        <f t="shared" si="20"/>
        <v>0</v>
      </c>
      <c r="CI121" s="107"/>
      <c r="CJ121" s="102"/>
      <c r="CK121" s="102"/>
      <c r="CL121" s="102"/>
      <c r="CM121" s="102"/>
      <c r="CN121" s="102"/>
      <c r="CO121" s="102"/>
      <c r="CP121" s="108"/>
      <c r="CQ121" s="97"/>
    </row>
    <row r="122" spans="2:95" ht="39" customHeight="1" x14ac:dyDescent="0.3">
      <c r="B122" s="97"/>
      <c r="C122" s="98"/>
      <c r="D122" s="97"/>
      <c r="E122" s="99"/>
      <c r="F122" s="99"/>
      <c r="G122" s="97"/>
      <c r="H122" s="100" t="s">
        <v>377</v>
      </c>
      <c r="I122" s="101"/>
      <c r="J122" s="99"/>
      <c r="K122" s="102"/>
      <c r="L122" s="103"/>
      <c r="M122" s="103"/>
      <c r="N122" s="103"/>
      <c r="O122" s="103"/>
      <c r="P122" s="99" t="s">
        <v>377</v>
      </c>
      <c r="Q122" s="99" t="s">
        <v>377</v>
      </c>
      <c r="R122" s="99" t="s">
        <v>377</v>
      </c>
      <c r="S122" s="99" t="s">
        <v>377</v>
      </c>
      <c r="T122" s="99" t="s">
        <v>377</v>
      </c>
      <c r="U122" s="99" t="s">
        <v>377</v>
      </c>
      <c r="V122" s="99" t="s">
        <v>377</v>
      </c>
      <c r="W122" s="99" t="s">
        <v>377</v>
      </c>
      <c r="X122" s="99" t="s">
        <v>377</v>
      </c>
      <c r="Y122" s="99" t="s">
        <v>377</v>
      </c>
      <c r="Z122" s="99" t="s">
        <v>377</v>
      </c>
      <c r="AA122" s="99" t="s">
        <v>377</v>
      </c>
      <c r="AB122" s="99" t="s">
        <v>377</v>
      </c>
      <c r="AC122" s="99" t="s">
        <v>377</v>
      </c>
      <c r="AD122" s="104" t="s">
        <v>377</v>
      </c>
      <c r="AE122" s="103" t="s">
        <v>377</v>
      </c>
      <c r="AF122" s="103"/>
      <c r="AG122" s="105"/>
      <c r="AH122" s="105"/>
      <c r="AI122" s="105"/>
      <c r="AJ122" s="105"/>
      <c r="AK122" s="105"/>
      <c r="AL122" s="105"/>
      <c r="AM122" s="106"/>
      <c r="AN122" s="288"/>
      <c r="AO122" s="105"/>
      <c r="AP122" s="105"/>
      <c r="AQ122" s="105"/>
      <c r="AR122" s="124"/>
      <c r="AS122" s="124"/>
      <c r="AT122" s="124"/>
      <c r="AU122" s="124"/>
      <c r="AV122" s="124"/>
      <c r="AW122" s="105"/>
      <c r="AX122" s="105"/>
      <c r="AY122" s="105"/>
      <c r="AZ122" s="105"/>
      <c r="BA122" s="105"/>
      <c r="BB122" s="105"/>
      <c r="BC122" s="105"/>
      <c r="BD122" s="105"/>
      <c r="BE122" s="105"/>
      <c r="BF122" s="105"/>
      <c r="BG122" s="105"/>
      <c r="BH122" s="105"/>
      <c r="BI122" s="105"/>
      <c r="BJ122" s="105"/>
      <c r="BK122" s="105"/>
      <c r="BL122" s="105"/>
      <c r="BM122" s="105"/>
      <c r="BN122" s="105"/>
      <c r="BO122" s="105"/>
      <c r="BP122" s="105"/>
      <c r="BQ122" s="105"/>
      <c r="BR122" s="105"/>
      <c r="BS122" s="105"/>
      <c r="BT122" s="105"/>
      <c r="BU122" s="99"/>
      <c r="BV122" s="99"/>
      <c r="BW122" s="99"/>
      <c r="BX122" s="99"/>
      <c r="BY122" s="99"/>
      <c r="BZ122" s="99"/>
      <c r="CA122" s="99"/>
      <c r="CB122" s="99"/>
      <c r="CC122" s="99"/>
      <c r="CD122" s="99"/>
      <c r="CE122" s="99"/>
      <c r="CF122" s="99"/>
      <c r="CG122" s="99"/>
      <c r="CH122" s="504">
        <f t="shared" si="20"/>
        <v>0</v>
      </c>
      <c r="CI122" s="107"/>
      <c r="CJ122" s="102"/>
      <c r="CK122" s="102"/>
      <c r="CL122" s="102"/>
      <c r="CM122" s="102"/>
      <c r="CN122" s="102"/>
      <c r="CO122" s="102"/>
      <c r="CP122" s="108"/>
      <c r="CQ122" s="97"/>
    </row>
    <row r="123" spans="2:95" ht="39" customHeight="1" x14ac:dyDescent="0.3">
      <c r="B123" s="97"/>
      <c r="C123" s="98"/>
      <c r="D123" s="97"/>
      <c r="E123" s="99"/>
      <c r="F123" s="99"/>
      <c r="G123" s="97"/>
      <c r="H123" s="100" t="s">
        <v>377</v>
      </c>
      <c r="I123" s="101"/>
      <c r="J123" s="99"/>
      <c r="K123" s="102"/>
      <c r="L123" s="103"/>
      <c r="M123" s="103"/>
      <c r="N123" s="103"/>
      <c r="O123" s="103"/>
      <c r="P123" s="99" t="s">
        <v>377</v>
      </c>
      <c r="Q123" s="99" t="s">
        <v>377</v>
      </c>
      <c r="R123" s="99" t="s">
        <v>377</v>
      </c>
      <c r="S123" s="99" t="s">
        <v>377</v>
      </c>
      <c r="T123" s="99" t="s">
        <v>377</v>
      </c>
      <c r="U123" s="99" t="s">
        <v>377</v>
      </c>
      <c r="V123" s="99" t="s">
        <v>377</v>
      </c>
      <c r="W123" s="99" t="s">
        <v>377</v>
      </c>
      <c r="X123" s="99" t="s">
        <v>377</v>
      </c>
      <c r="Y123" s="99" t="s">
        <v>377</v>
      </c>
      <c r="Z123" s="99" t="s">
        <v>377</v>
      </c>
      <c r="AA123" s="99" t="s">
        <v>377</v>
      </c>
      <c r="AB123" s="99" t="s">
        <v>377</v>
      </c>
      <c r="AC123" s="99" t="s">
        <v>377</v>
      </c>
      <c r="AD123" s="104" t="s">
        <v>377</v>
      </c>
      <c r="AE123" s="103" t="s">
        <v>377</v>
      </c>
      <c r="AF123" s="103"/>
      <c r="AG123" s="105"/>
      <c r="AH123" s="105"/>
      <c r="AI123" s="105"/>
      <c r="AJ123" s="105"/>
      <c r="AK123" s="105"/>
      <c r="AL123" s="105"/>
      <c r="AM123" s="106"/>
      <c r="AN123" s="288"/>
      <c r="AO123" s="105"/>
      <c r="AP123" s="105"/>
      <c r="AQ123" s="105"/>
      <c r="AR123" s="124"/>
      <c r="AS123" s="124"/>
      <c r="AT123" s="124"/>
      <c r="AU123" s="124"/>
      <c r="AV123" s="124"/>
      <c r="AW123" s="105"/>
      <c r="AX123" s="105"/>
      <c r="AY123" s="105"/>
      <c r="AZ123" s="105"/>
      <c r="BA123" s="105"/>
      <c r="BB123" s="105"/>
      <c r="BC123" s="105"/>
      <c r="BD123" s="105"/>
      <c r="BE123" s="105"/>
      <c r="BF123" s="105"/>
      <c r="BG123" s="105"/>
      <c r="BH123" s="105"/>
      <c r="BI123" s="105"/>
      <c r="BJ123" s="105"/>
      <c r="BK123" s="105"/>
      <c r="BL123" s="105"/>
      <c r="BM123" s="105"/>
      <c r="BN123" s="105"/>
      <c r="BO123" s="105"/>
      <c r="BP123" s="105"/>
      <c r="BQ123" s="105"/>
      <c r="BR123" s="105"/>
      <c r="BS123" s="105"/>
      <c r="BT123" s="105"/>
      <c r="BU123" s="99"/>
      <c r="BV123" s="99"/>
      <c r="BW123" s="99"/>
      <c r="BX123" s="99"/>
      <c r="BY123" s="99"/>
      <c r="BZ123" s="99"/>
      <c r="CA123" s="99"/>
      <c r="CB123" s="99"/>
      <c r="CC123" s="99"/>
      <c r="CD123" s="99"/>
      <c r="CE123" s="99"/>
      <c r="CF123" s="99"/>
      <c r="CG123" s="99"/>
      <c r="CH123" s="504">
        <f t="shared" si="20"/>
        <v>0</v>
      </c>
      <c r="CI123" s="107"/>
      <c r="CJ123" s="102"/>
      <c r="CK123" s="102"/>
      <c r="CL123" s="102"/>
      <c r="CM123" s="102"/>
      <c r="CN123" s="102"/>
      <c r="CO123" s="102"/>
      <c r="CP123" s="108"/>
      <c r="CQ123" s="97"/>
    </row>
    <row r="124" spans="2:95" ht="39" customHeight="1" x14ac:dyDescent="0.3">
      <c r="B124" s="97"/>
      <c r="C124" s="98"/>
      <c r="D124" s="97"/>
      <c r="E124" s="99"/>
      <c r="F124" s="99"/>
      <c r="G124" s="97"/>
      <c r="H124" s="100" t="s">
        <v>377</v>
      </c>
      <c r="I124" s="101"/>
      <c r="J124" s="99"/>
      <c r="K124" s="102"/>
      <c r="L124" s="103"/>
      <c r="M124" s="103"/>
      <c r="N124" s="103"/>
      <c r="O124" s="103"/>
      <c r="P124" s="99" t="s">
        <v>377</v>
      </c>
      <c r="Q124" s="99" t="s">
        <v>377</v>
      </c>
      <c r="R124" s="99" t="s">
        <v>377</v>
      </c>
      <c r="S124" s="99" t="s">
        <v>377</v>
      </c>
      <c r="T124" s="99" t="s">
        <v>377</v>
      </c>
      <c r="U124" s="99" t="s">
        <v>377</v>
      </c>
      <c r="V124" s="99" t="s">
        <v>377</v>
      </c>
      <c r="W124" s="99" t="s">
        <v>377</v>
      </c>
      <c r="X124" s="99" t="s">
        <v>377</v>
      </c>
      <c r="Y124" s="99" t="s">
        <v>377</v>
      </c>
      <c r="Z124" s="99" t="s">
        <v>377</v>
      </c>
      <c r="AA124" s="99" t="s">
        <v>377</v>
      </c>
      <c r="AB124" s="99" t="s">
        <v>377</v>
      </c>
      <c r="AC124" s="99" t="s">
        <v>377</v>
      </c>
      <c r="AD124" s="104" t="s">
        <v>377</v>
      </c>
      <c r="AE124" s="103" t="s">
        <v>377</v>
      </c>
      <c r="AF124" s="103"/>
      <c r="AG124" s="105"/>
      <c r="AH124" s="105"/>
      <c r="AI124" s="105"/>
      <c r="AJ124" s="105"/>
      <c r="AK124" s="105"/>
      <c r="AL124" s="105"/>
      <c r="AM124" s="106"/>
      <c r="AN124" s="288"/>
      <c r="AO124" s="105"/>
      <c r="AP124" s="105"/>
      <c r="AQ124" s="105"/>
      <c r="AR124" s="124"/>
      <c r="AS124" s="124"/>
      <c r="AT124" s="124"/>
      <c r="AU124" s="124"/>
      <c r="AV124" s="124"/>
      <c r="AW124" s="105"/>
      <c r="AX124" s="105"/>
      <c r="AY124" s="105"/>
      <c r="AZ124" s="105"/>
      <c r="BA124" s="105"/>
      <c r="BB124" s="105"/>
      <c r="BC124" s="105"/>
      <c r="BD124" s="105"/>
      <c r="BE124" s="105"/>
      <c r="BF124" s="105"/>
      <c r="BG124" s="105"/>
      <c r="BH124" s="105"/>
      <c r="BI124" s="105"/>
      <c r="BJ124" s="105"/>
      <c r="BK124" s="105"/>
      <c r="BL124" s="105"/>
      <c r="BM124" s="105"/>
      <c r="BN124" s="105"/>
      <c r="BO124" s="105"/>
      <c r="BP124" s="105"/>
      <c r="BQ124" s="105"/>
      <c r="BR124" s="105"/>
      <c r="BS124" s="105"/>
      <c r="BT124" s="105"/>
      <c r="BU124" s="99"/>
      <c r="BV124" s="99"/>
      <c r="BW124" s="99"/>
      <c r="BX124" s="99"/>
      <c r="BY124" s="99"/>
      <c r="BZ124" s="99"/>
      <c r="CA124" s="99"/>
      <c r="CB124" s="99"/>
      <c r="CC124" s="99"/>
      <c r="CD124" s="99"/>
      <c r="CE124" s="99"/>
      <c r="CF124" s="99"/>
      <c r="CG124" s="99"/>
      <c r="CH124" s="504">
        <f t="shared" si="20"/>
        <v>0</v>
      </c>
      <c r="CI124" s="107"/>
      <c r="CJ124" s="102"/>
      <c r="CK124" s="102"/>
      <c r="CL124" s="102"/>
      <c r="CM124" s="102"/>
      <c r="CN124" s="102"/>
      <c r="CO124" s="102"/>
      <c r="CP124" s="108"/>
      <c r="CQ124" s="97"/>
    </row>
    <row r="125" spans="2:95" ht="39" customHeight="1" x14ac:dyDescent="0.3">
      <c r="B125" s="97"/>
      <c r="C125" s="98"/>
      <c r="D125" s="97"/>
      <c r="E125" s="99"/>
      <c r="F125" s="99"/>
      <c r="G125" s="97"/>
      <c r="H125" s="100" t="s">
        <v>377</v>
      </c>
      <c r="I125" s="101"/>
      <c r="J125" s="99"/>
      <c r="K125" s="102"/>
      <c r="L125" s="103"/>
      <c r="M125" s="103"/>
      <c r="N125" s="103"/>
      <c r="O125" s="103"/>
      <c r="P125" s="99" t="s">
        <v>377</v>
      </c>
      <c r="Q125" s="99" t="s">
        <v>377</v>
      </c>
      <c r="R125" s="99" t="s">
        <v>377</v>
      </c>
      <c r="S125" s="99" t="s">
        <v>377</v>
      </c>
      <c r="T125" s="99" t="s">
        <v>377</v>
      </c>
      <c r="U125" s="99" t="s">
        <v>377</v>
      </c>
      <c r="V125" s="99" t="s">
        <v>377</v>
      </c>
      <c r="W125" s="99" t="s">
        <v>377</v>
      </c>
      <c r="X125" s="99" t="s">
        <v>377</v>
      </c>
      <c r="Y125" s="99" t="s">
        <v>377</v>
      </c>
      <c r="Z125" s="99" t="s">
        <v>377</v>
      </c>
      <c r="AA125" s="99" t="s">
        <v>377</v>
      </c>
      <c r="AB125" s="99" t="s">
        <v>377</v>
      </c>
      <c r="AC125" s="99" t="s">
        <v>377</v>
      </c>
      <c r="AD125" s="104" t="s">
        <v>377</v>
      </c>
      <c r="AE125" s="103" t="s">
        <v>377</v>
      </c>
      <c r="AF125" s="103"/>
      <c r="AG125" s="105"/>
      <c r="AH125" s="105"/>
      <c r="AI125" s="105"/>
      <c r="AJ125" s="105"/>
      <c r="AK125" s="105"/>
      <c r="AL125" s="105"/>
      <c r="AM125" s="106"/>
      <c r="AN125" s="288"/>
      <c r="AO125" s="105"/>
      <c r="AP125" s="105"/>
      <c r="AQ125" s="105"/>
      <c r="AR125" s="124"/>
      <c r="AS125" s="124"/>
      <c r="AT125" s="124"/>
      <c r="AU125" s="124"/>
      <c r="AV125" s="124"/>
      <c r="AW125" s="105"/>
      <c r="AX125" s="105"/>
      <c r="AY125" s="105"/>
      <c r="AZ125" s="105"/>
      <c r="BA125" s="105"/>
      <c r="BB125" s="105"/>
      <c r="BC125" s="105"/>
      <c r="BD125" s="105"/>
      <c r="BE125" s="105"/>
      <c r="BF125" s="105"/>
      <c r="BG125" s="105"/>
      <c r="BH125" s="105"/>
      <c r="BI125" s="105"/>
      <c r="BJ125" s="105"/>
      <c r="BK125" s="105"/>
      <c r="BL125" s="105"/>
      <c r="BM125" s="105"/>
      <c r="BN125" s="105"/>
      <c r="BO125" s="105"/>
      <c r="BP125" s="105"/>
      <c r="BQ125" s="105"/>
      <c r="BR125" s="105"/>
      <c r="BS125" s="105"/>
      <c r="BT125" s="105"/>
      <c r="BU125" s="99"/>
      <c r="BV125" s="99"/>
      <c r="BW125" s="99"/>
      <c r="BX125" s="99"/>
      <c r="BY125" s="99"/>
      <c r="BZ125" s="99"/>
      <c r="CA125" s="99"/>
      <c r="CB125" s="99"/>
      <c r="CC125" s="99"/>
      <c r="CD125" s="99"/>
      <c r="CE125" s="99"/>
      <c r="CF125" s="99"/>
      <c r="CG125" s="99"/>
      <c r="CH125" s="504">
        <f t="shared" si="20"/>
        <v>0</v>
      </c>
      <c r="CI125" s="107"/>
      <c r="CJ125" s="102"/>
      <c r="CK125" s="102"/>
      <c r="CL125" s="102"/>
      <c r="CM125" s="102"/>
      <c r="CN125" s="102"/>
      <c r="CO125" s="102"/>
      <c r="CP125" s="108"/>
      <c r="CQ125" s="97"/>
    </row>
    <row r="126" spans="2:95" ht="39" customHeight="1" x14ac:dyDescent="0.3">
      <c r="B126" s="97"/>
      <c r="C126" s="98"/>
      <c r="D126" s="97"/>
      <c r="E126" s="99"/>
      <c r="F126" s="99"/>
      <c r="G126" s="97"/>
      <c r="H126" s="100" t="s">
        <v>377</v>
      </c>
      <c r="I126" s="101"/>
      <c r="J126" s="99"/>
      <c r="K126" s="102"/>
      <c r="L126" s="103"/>
      <c r="M126" s="103"/>
      <c r="N126" s="103"/>
      <c r="O126" s="103"/>
      <c r="P126" s="99" t="s">
        <v>377</v>
      </c>
      <c r="Q126" s="99" t="s">
        <v>377</v>
      </c>
      <c r="R126" s="99" t="s">
        <v>377</v>
      </c>
      <c r="S126" s="99" t="s">
        <v>377</v>
      </c>
      <c r="T126" s="99" t="s">
        <v>377</v>
      </c>
      <c r="U126" s="99" t="s">
        <v>377</v>
      </c>
      <c r="V126" s="99" t="s">
        <v>377</v>
      </c>
      <c r="W126" s="99" t="s">
        <v>377</v>
      </c>
      <c r="X126" s="99" t="s">
        <v>377</v>
      </c>
      <c r="Y126" s="99" t="s">
        <v>377</v>
      </c>
      <c r="Z126" s="99" t="s">
        <v>377</v>
      </c>
      <c r="AA126" s="99" t="s">
        <v>377</v>
      </c>
      <c r="AB126" s="99" t="s">
        <v>377</v>
      </c>
      <c r="AC126" s="99" t="s">
        <v>377</v>
      </c>
      <c r="AD126" s="104" t="s">
        <v>377</v>
      </c>
      <c r="AE126" s="103" t="s">
        <v>377</v>
      </c>
      <c r="AF126" s="103"/>
      <c r="AG126" s="105"/>
      <c r="AH126" s="105"/>
      <c r="AI126" s="105"/>
      <c r="AJ126" s="105"/>
      <c r="AK126" s="105"/>
      <c r="AL126" s="105"/>
      <c r="AM126" s="106"/>
      <c r="AN126" s="288"/>
      <c r="AO126" s="105"/>
      <c r="AP126" s="105"/>
      <c r="AQ126" s="105"/>
      <c r="AR126" s="124"/>
      <c r="AS126" s="124"/>
      <c r="AT126" s="124"/>
      <c r="AU126" s="124"/>
      <c r="AV126" s="124"/>
      <c r="AW126" s="105"/>
      <c r="AX126" s="105"/>
      <c r="AY126" s="105"/>
      <c r="AZ126" s="105"/>
      <c r="BA126" s="105"/>
      <c r="BB126" s="105"/>
      <c r="BC126" s="105"/>
      <c r="BD126" s="105"/>
      <c r="BE126" s="105"/>
      <c r="BF126" s="105"/>
      <c r="BG126" s="105"/>
      <c r="BH126" s="105"/>
      <c r="BI126" s="105"/>
      <c r="BJ126" s="105"/>
      <c r="BK126" s="105"/>
      <c r="BL126" s="105"/>
      <c r="BM126" s="105"/>
      <c r="BN126" s="105"/>
      <c r="BO126" s="105"/>
      <c r="BP126" s="105"/>
      <c r="BQ126" s="105"/>
      <c r="BR126" s="105"/>
      <c r="BS126" s="105"/>
      <c r="BT126" s="105"/>
      <c r="BU126" s="99"/>
      <c r="BV126" s="99"/>
      <c r="BW126" s="99"/>
      <c r="BX126" s="99"/>
      <c r="BY126" s="99"/>
      <c r="BZ126" s="99"/>
      <c r="CA126" s="99"/>
      <c r="CB126" s="99"/>
      <c r="CC126" s="99"/>
      <c r="CD126" s="99"/>
      <c r="CE126" s="99"/>
      <c r="CF126" s="99"/>
      <c r="CG126" s="99"/>
      <c r="CH126" s="504">
        <f t="shared" si="20"/>
        <v>0</v>
      </c>
      <c r="CI126" s="107"/>
      <c r="CJ126" s="102"/>
      <c r="CK126" s="102"/>
      <c r="CL126" s="102"/>
      <c r="CM126" s="102"/>
      <c r="CN126" s="102"/>
      <c r="CO126" s="102"/>
      <c r="CP126" s="108"/>
      <c r="CQ126" s="97"/>
    </row>
    <row r="127" spans="2:95" ht="39" customHeight="1" x14ac:dyDescent="0.3">
      <c r="B127" s="97"/>
      <c r="C127" s="98"/>
      <c r="D127" s="97"/>
      <c r="E127" s="99"/>
      <c r="F127" s="99"/>
      <c r="G127" s="97"/>
      <c r="H127" s="100" t="s">
        <v>377</v>
      </c>
      <c r="I127" s="101"/>
      <c r="J127" s="99"/>
      <c r="K127" s="102"/>
      <c r="L127" s="103"/>
      <c r="M127" s="103"/>
      <c r="N127" s="103"/>
      <c r="O127" s="103"/>
      <c r="P127" s="99" t="s">
        <v>377</v>
      </c>
      <c r="Q127" s="99" t="s">
        <v>377</v>
      </c>
      <c r="R127" s="99" t="s">
        <v>377</v>
      </c>
      <c r="S127" s="99" t="s">
        <v>377</v>
      </c>
      <c r="T127" s="99" t="s">
        <v>377</v>
      </c>
      <c r="U127" s="99" t="s">
        <v>377</v>
      </c>
      <c r="V127" s="99" t="s">
        <v>377</v>
      </c>
      <c r="W127" s="99" t="s">
        <v>377</v>
      </c>
      <c r="X127" s="99" t="s">
        <v>377</v>
      </c>
      <c r="Y127" s="99" t="s">
        <v>377</v>
      </c>
      <c r="Z127" s="99" t="s">
        <v>377</v>
      </c>
      <c r="AA127" s="99" t="s">
        <v>377</v>
      </c>
      <c r="AB127" s="99" t="s">
        <v>377</v>
      </c>
      <c r="AC127" s="99" t="s">
        <v>377</v>
      </c>
      <c r="AD127" s="104" t="s">
        <v>377</v>
      </c>
      <c r="AE127" s="103" t="s">
        <v>377</v>
      </c>
      <c r="AF127" s="103"/>
      <c r="AG127" s="105"/>
      <c r="AH127" s="105"/>
      <c r="AI127" s="105"/>
      <c r="AJ127" s="105"/>
      <c r="AK127" s="105"/>
      <c r="AL127" s="105"/>
      <c r="AM127" s="106"/>
      <c r="AN127" s="288"/>
      <c r="AO127" s="105"/>
      <c r="AP127" s="105"/>
      <c r="AQ127" s="105"/>
      <c r="AR127" s="124"/>
      <c r="AS127" s="124"/>
      <c r="AT127" s="124"/>
      <c r="AU127" s="124"/>
      <c r="AV127" s="124"/>
      <c r="AW127" s="105"/>
      <c r="AX127" s="105"/>
      <c r="AY127" s="105"/>
      <c r="AZ127" s="105"/>
      <c r="BA127" s="105"/>
      <c r="BB127" s="105"/>
      <c r="BC127" s="105"/>
      <c r="BD127" s="105"/>
      <c r="BE127" s="105"/>
      <c r="BF127" s="105"/>
      <c r="BG127" s="105"/>
      <c r="BH127" s="105"/>
      <c r="BI127" s="105"/>
      <c r="BJ127" s="105"/>
      <c r="BK127" s="105"/>
      <c r="BL127" s="105"/>
      <c r="BM127" s="105"/>
      <c r="BN127" s="105"/>
      <c r="BO127" s="105"/>
      <c r="BP127" s="105"/>
      <c r="BQ127" s="105"/>
      <c r="BR127" s="105"/>
      <c r="BS127" s="105"/>
      <c r="BT127" s="105"/>
      <c r="BU127" s="99"/>
      <c r="BV127" s="99"/>
      <c r="BW127" s="99"/>
      <c r="BX127" s="99"/>
      <c r="BY127" s="99"/>
      <c r="BZ127" s="99"/>
      <c r="CA127" s="99"/>
      <c r="CB127" s="99"/>
      <c r="CC127" s="99"/>
      <c r="CD127" s="99"/>
      <c r="CE127" s="99"/>
      <c r="CF127" s="99"/>
      <c r="CG127" s="99"/>
      <c r="CH127" s="504">
        <f t="shared" si="20"/>
        <v>0</v>
      </c>
      <c r="CI127" s="107"/>
      <c r="CJ127" s="102"/>
      <c r="CK127" s="102"/>
      <c r="CL127" s="102"/>
      <c r="CM127" s="102"/>
      <c r="CN127" s="102"/>
      <c r="CO127" s="102"/>
      <c r="CP127" s="108"/>
      <c r="CQ127" s="97"/>
    </row>
    <row r="128" spans="2:95" ht="39" customHeight="1" x14ac:dyDescent="0.3">
      <c r="B128" s="97"/>
      <c r="C128" s="98"/>
      <c r="D128" s="97"/>
      <c r="E128" s="99"/>
      <c r="F128" s="99"/>
      <c r="G128" s="97"/>
      <c r="H128" s="100" t="s">
        <v>377</v>
      </c>
      <c r="I128" s="101"/>
      <c r="J128" s="99"/>
      <c r="K128" s="102"/>
      <c r="L128" s="103"/>
      <c r="M128" s="103"/>
      <c r="N128" s="103"/>
      <c r="O128" s="103"/>
      <c r="P128" s="99" t="s">
        <v>377</v>
      </c>
      <c r="Q128" s="99" t="s">
        <v>377</v>
      </c>
      <c r="R128" s="99" t="s">
        <v>377</v>
      </c>
      <c r="S128" s="99" t="s">
        <v>377</v>
      </c>
      <c r="T128" s="99" t="s">
        <v>377</v>
      </c>
      <c r="U128" s="99" t="s">
        <v>377</v>
      </c>
      <c r="V128" s="99" t="s">
        <v>377</v>
      </c>
      <c r="W128" s="99" t="s">
        <v>377</v>
      </c>
      <c r="X128" s="99" t="s">
        <v>377</v>
      </c>
      <c r="Y128" s="99" t="s">
        <v>377</v>
      </c>
      <c r="Z128" s="99" t="s">
        <v>377</v>
      </c>
      <c r="AA128" s="99" t="s">
        <v>377</v>
      </c>
      <c r="AB128" s="99" t="s">
        <v>377</v>
      </c>
      <c r="AC128" s="99" t="s">
        <v>377</v>
      </c>
      <c r="AD128" s="104" t="s">
        <v>377</v>
      </c>
      <c r="AE128" s="103" t="s">
        <v>377</v>
      </c>
      <c r="AF128" s="103"/>
      <c r="AG128" s="105"/>
      <c r="AH128" s="105"/>
      <c r="AI128" s="105"/>
      <c r="AJ128" s="105"/>
      <c r="AK128" s="105"/>
      <c r="AL128" s="105"/>
      <c r="AM128" s="106"/>
      <c r="AN128" s="288"/>
      <c r="AO128" s="105"/>
      <c r="AP128" s="105"/>
      <c r="AQ128" s="105"/>
      <c r="AR128" s="124"/>
      <c r="AS128" s="124"/>
      <c r="AT128" s="124"/>
      <c r="AU128" s="124"/>
      <c r="AV128" s="124"/>
      <c r="AW128" s="105"/>
      <c r="AX128" s="105"/>
      <c r="AY128" s="105"/>
      <c r="AZ128" s="105"/>
      <c r="BA128" s="105"/>
      <c r="BB128" s="105"/>
      <c r="BC128" s="105"/>
      <c r="BD128" s="105"/>
      <c r="BE128" s="105"/>
      <c r="BF128" s="105"/>
      <c r="BG128" s="105"/>
      <c r="BH128" s="105"/>
      <c r="BI128" s="105"/>
      <c r="BJ128" s="105"/>
      <c r="BK128" s="105"/>
      <c r="BL128" s="105"/>
      <c r="BM128" s="105"/>
      <c r="BN128" s="105"/>
      <c r="BO128" s="105"/>
      <c r="BP128" s="105"/>
      <c r="BQ128" s="105"/>
      <c r="BR128" s="105"/>
      <c r="BS128" s="105"/>
      <c r="BT128" s="105"/>
      <c r="BU128" s="99"/>
      <c r="BV128" s="99"/>
      <c r="BW128" s="99"/>
      <c r="BX128" s="99"/>
      <c r="BY128" s="99"/>
      <c r="BZ128" s="99"/>
      <c r="CA128" s="99"/>
      <c r="CB128" s="99"/>
      <c r="CC128" s="99"/>
      <c r="CD128" s="99"/>
      <c r="CE128" s="99"/>
      <c r="CF128" s="99"/>
      <c r="CG128" s="99"/>
      <c r="CH128" s="504">
        <f t="shared" si="20"/>
        <v>0</v>
      </c>
      <c r="CI128" s="107"/>
      <c r="CJ128" s="102"/>
      <c r="CK128" s="102"/>
      <c r="CL128" s="102"/>
      <c r="CM128" s="102"/>
      <c r="CN128" s="102"/>
      <c r="CO128" s="102"/>
      <c r="CP128" s="108"/>
      <c r="CQ128" s="97"/>
    </row>
    <row r="129" spans="2:95" ht="39" customHeight="1" x14ac:dyDescent="0.3">
      <c r="B129" s="97"/>
      <c r="C129" s="98"/>
      <c r="D129" s="97"/>
      <c r="E129" s="99"/>
      <c r="F129" s="99"/>
      <c r="G129" s="97"/>
      <c r="H129" s="100" t="s">
        <v>377</v>
      </c>
      <c r="I129" s="101"/>
      <c r="J129" s="99"/>
      <c r="K129" s="102"/>
      <c r="L129" s="103"/>
      <c r="M129" s="103"/>
      <c r="N129" s="103"/>
      <c r="O129" s="103"/>
      <c r="P129" s="99" t="s">
        <v>377</v>
      </c>
      <c r="Q129" s="99" t="s">
        <v>377</v>
      </c>
      <c r="R129" s="99" t="s">
        <v>377</v>
      </c>
      <c r="S129" s="99" t="s">
        <v>377</v>
      </c>
      <c r="T129" s="99" t="s">
        <v>377</v>
      </c>
      <c r="U129" s="99" t="s">
        <v>377</v>
      </c>
      <c r="V129" s="99" t="s">
        <v>377</v>
      </c>
      <c r="W129" s="99" t="s">
        <v>377</v>
      </c>
      <c r="X129" s="99" t="s">
        <v>377</v>
      </c>
      <c r="Y129" s="99" t="s">
        <v>377</v>
      </c>
      <c r="Z129" s="99" t="s">
        <v>377</v>
      </c>
      <c r="AA129" s="99" t="s">
        <v>377</v>
      </c>
      <c r="AB129" s="99" t="s">
        <v>377</v>
      </c>
      <c r="AC129" s="99" t="s">
        <v>377</v>
      </c>
      <c r="AD129" s="104" t="s">
        <v>377</v>
      </c>
      <c r="AE129" s="103" t="s">
        <v>377</v>
      </c>
      <c r="AF129" s="103"/>
      <c r="AG129" s="105"/>
      <c r="AH129" s="105"/>
      <c r="AI129" s="105"/>
      <c r="AJ129" s="105"/>
      <c r="AK129" s="105"/>
      <c r="AL129" s="105"/>
      <c r="AM129" s="106"/>
      <c r="AN129" s="288"/>
      <c r="AO129" s="105"/>
      <c r="AP129" s="105"/>
      <c r="AQ129" s="105"/>
      <c r="AR129" s="124"/>
      <c r="AS129" s="124"/>
      <c r="AT129" s="124"/>
      <c r="AU129" s="124"/>
      <c r="AV129" s="124"/>
      <c r="AW129" s="105"/>
      <c r="AX129" s="105"/>
      <c r="AY129" s="105"/>
      <c r="AZ129" s="105"/>
      <c r="BA129" s="105"/>
      <c r="BB129" s="105"/>
      <c r="BC129" s="105"/>
      <c r="BD129" s="105"/>
      <c r="BE129" s="105"/>
      <c r="BF129" s="105"/>
      <c r="BG129" s="105"/>
      <c r="BH129" s="105"/>
      <c r="BI129" s="105"/>
      <c r="BJ129" s="105"/>
      <c r="BK129" s="105"/>
      <c r="BL129" s="105"/>
      <c r="BM129" s="105"/>
      <c r="BN129" s="105"/>
      <c r="BO129" s="105"/>
      <c r="BP129" s="105"/>
      <c r="BQ129" s="105"/>
      <c r="BR129" s="105"/>
      <c r="BS129" s="105"/>
      <c r="BT129" s="105"/>
      <c r="BU129" s="99"/>
      <c r="BV129" s="99"/>
      <c r="BW129" s="99"/>
      <c r="BX129" s="99"/>
      <c r="BY129" s="99"/>
      <c r="BZ129" s="99"/>
      <c r="CA129" s="99"/>
      <c r="CB129" s="99"/>
      <c r="CC129" s="99"/>
      <c r="CD129" s="99"/>
      <c r="CE129" s="99"/>
      <c r="CF129" s="99"/>
      <c r="CG129" s="99"/>
      <c r="CH129" s="504">
        <f t="shared" si="20"/>
        <v>0</v>
      </c>
      <c r="CI129" s="107"/>
      <c r="CJ129" s="102"/>
      <c r="CK129" s="102"/>
      <c r="CL129" s="102"/>
      <c r="CM129" s="102"/>
      <c r="CN129" s="102"/>
      <c r="CO129" s="102"/>
      <c r="CP129" s="108"/>
      <c r="CQ129" s="97"/>
    </row>
    <row r="130" spans="2:95" ht="39" customHeight="1" x14ac:dyDescent="0.3">
      <c r="B130" s="97"/>
      <c r="C130" s="98"/>
      <c r="D130" s="97"/>
      <c r="E130" s="99"/>
      <c r="F130" s="99"/>
      <c r="G130" s="97"/>
      <c r="H130" s="100" t="s">
        <v>377</v>
      </c>
      <c r="I130" s="101"/>
      <c r="J130" s="99"/>
      <c r="K130" s="102"/>
      <c r="L130" s="103"/>
      <c r="M130" s="103"/>
      <c r="N130" s="103"/>
      <c r="O130" s="103"/>
      <c r="P130" s="99" t="s">
        <v>377</v>
      </c>
      <c r="Q130" s="99" t="s">
        <v>377</v>
      </c>
      <c r="R130" s="99" t="s">
        <v>377</v>
      </c>
      <c r="S130" s="99" t="s">
        <v>377</v>
      </c>
      <c r="T130" s="99" t="s">
        <v>377</v>
      </c>
      <c r="U130" s="99" t="s">
        <v>377</v>
      </c>
      <c r="V130" s="99" t="s">
        <v>377</v>
      </c>
      <c r="W130" s="99" t="s">
        <v>377</v>
      </c>
      <c r="X130" s="99" t="s">
        <v>377</v>
      </c>
      <c r="Y130" s="99" t="s">
        <v>377</v>
      </c>
      <c r="Z130" s="99" t="s">
        <v>377</v>
      </c>
      <c r="AA130" s="99" t="s">
        <v>377</v>
      </c>
      <c r="AB130" s="99" t="s">
        <v>377</v>
      </c>
      <c r="AC130" s="99" t="s">
        <v>377</v>
      </c>
      <c r="AD130" s="104" t="s">
        <v>377</v>
      </c>
      <c r="AE130" s="103" t="s">
        <v>377</v>
      </c>
      <c r="AF130" s="103"/>
      <c r="AG130" s="105"/>
      <c r="AH130" s="105"/>
      <c r="AI130" s="105"/>
      <c r="AJ130" s="105"/>
      <c r="AK130" s="105"/>
      <c r="AL130" s="105"/>
      <c r="AM130" s="106"/>
      <c r="AN130" s="288"/>
      <c r="AO130" s="105"/>
      <c r="AP130" s="105"/>
      <c r="AQ130" s="105"/>
      <c r="AR130" s="124"/>
      <c r="AS130" s="124"/>
      <c r="AT130" s="124"/>
      <c r="AU130" s="124"/>
      <c r="AV130" s="124"/>
      <c r="AW130" s="105"/>
      <c r="AX130" s="105"/>
      <c r="AY130" s="105"/>
      <c r="AZ130" s="105"/>
      <c r="BA130" s="105"/>
      <c r="BB130" s="105"/>
      <c r="BC130" s="105"/>
      <c r="BD130" s="105"/>
      <c r="BE130" s="105"/>
      <c r="BF130" s="105"/>
      <c r="BG130" s="105"/>
      <c r="BH130" s="105"/>
      <c r="BI130" s="105"/>
      <c r="BJ130" s="105"/>
      <c r="BK130" s="105"/>
      <c r="BL130" s="105"/>
      <c r="BM130" s="105"/>
      <c r="BN130" s="105"/>
      <c r="BO130" s="105"/>
      <c r="BP130" s="105"/>
      <c r="BQ130" s="105"/>
      <c r="BR130" s="105"/>
      <c r="BS130" s="105"/>
      <c r="BT130" s="105"/>
      <c r="BU130" s="99"/>
      <c r="BV130" s="99"/>
      <c r="BW130" s="99"/>
      <c r="BX130" s="99"/>
      <c r="BY130" s="99"/>
      <c r="BZ130" s="99"/>
      <c r="CA130" s="99"/>
      <c r="CB130" s="99"/>
      <c r="CC130" s="99"/>
      <c r="CD130" s="99"/>
      <c r="CE130" s="99"/>
      <c r="CF130" s="99"/>
      <c r="CG130" s="99"/>
      <c r="CH130" s="504">
        <f t="shared" si="20"/>
        <v>0</v>
      </c>
      <c r="CI130" s="107"/>
      <c r="CJ130" s="102"/>
      <c r="CK130" s="102"/>
      <c r="CL130" s="102"/>
      <c r="CM130" s="102"/>
      <c r="CN130" s="102"/>
      <c r="CO130" s="102"/>
      <c r="CP130" s="108"/>
      <c r="CQ130" s="97"/>
    </row>
    <row r="131" spans="2:95" ht="39" customHeight="1" x14ac:dyDescent="0.3">
      <c r="B131" s="97"/>
      <c r="C131" s="98"/>
      <c r="D131" s="97"/>
      <c r="E131" s="99"/>
      <c r="F131" s="99"/>
      <c r="G131" s="97"/>
      <c r="H131" s="100" t="s">
        <v>377</v>
      </c>
      <c r="I131" s="101"/>
      <c r="J131" s="99"/>
      <c r="K131" s="102"/>
      <c r="L131" s="103"/>
      <c r="M131" s="103"/>
      <c r="N131" s="103"/>
      <c r="O131" s="103"/>
      <c r="P131" s="99" t="s">
        <v>377</v>
      </c>
      <c r="Q131" s="99" t="s">
        <v>377</v>
      </c>
      <c r="R131" s="99" t="s">
        <v>377</v>
      </c>
      <c r="S131" s="99" t="s">
        <v>377</v>
      </c>
      <c r="T131" s="99" t="s">
        <v>377</v>
      </c>
      <c r="U131" s="99" t="s">
        <v>377</v>
      </c>
      <c r="V131" s="99" t="s">
        <v>377</v>
      </c>
      <c r="W131" s="99" t="s">
        <v>377</v>
      </c>
      <c r="X131" s="99" t="s">
        <v>377</v>
      </c>
      <c r="Y131" s="99" t="s">
        <v>377</v>
      </c>
      <c r="Z131" s="99" t="s">
        <v>377</v>
      </c>
      <c r="AA131" s="99" t="s">
        <v>377</v>
      </c>
      <c r="AB131" s="99" t="s">
        <v>377</v>
      </c>
      <c r="AC131" s="99" t="s">
        <v>377</v>
      </c>
      <c r="AD131" s="104" t="s">
        <v>377</v>
      </c>
      <c r="AE131" s="103" t="s">
        <v>377</v>
      </c>
      <c r="AF131" s="103"/>
      <c r="AG131" s="105"/>
      <c r="AH131" s="105"/>
      <c r="AI131" s="105"/>
      <c r="AJ131" s="105"/>
      <c r="AK131" s="105"/>
      <c r="AL131" s="105"/>
      <c r="AM131" s="106"/>
      <c r="AN131" s="288"/>
      <c r="AO131" s="105"/>
      <c r="AP131" s="105"/>
      <c r="AQ131" s="105"/>
      <c r="AR131" s="124"/>
      <c r="AS131" s="124"/>
      <c r="AT131" s="124"/>
      <c r="AU131" s="124"/>
      <c r="AV131" s="124"/>
      <c r="AW131" s="105"/>
      <c r="AX131" s="105"/>
      <c r="AY131" s="105"/>
      <c r="AZ131" s="105"/>
      <c r="BA131" s="105"/>
      <c r="BB131" s="105"/>
      <c r="BC131" s="105"/>
      <c r="BD131" s="105"/>
      <c r="BE131" s="105"/>
      <c r="BF131" s="105"/>
      <c r="BG131" s="105"/>
      <c r="BH131" s="105"/>
      <c r="BI131" s="105"/>
      <c r="BJ131" s="105"/>
      <c r="BK131" s="105"/>
      <c r="BL131" s="105"/>
      <c r="BM131" s="105"/>
      <c r="BN131" s="105"/>
      <c r="BO131" s="105"/>
      <c r="BP131" s="105"/>
      <c r="BQ131" s="105"/>
      <c r="BR131" s="105"/>
      <c r="BS131" s="105"/>
      <c r="BT131" s="105"/>
      <c r="BU131" s="99"/>
      <c r="BV131" s="99"/>
      <c r="BW131" s="99"/>
      <c r="BX131" s="99"/>
      <c r="BY131" s="99"/>
      <c r="BZ131" s="99"/>
      <c r="CA131" s="99"/>
      <c r="CB131" s="99"/>
      <c r="CC131" s="99"/>
      <c r="CD131" s="99"/>
      <c r="CE131" s="99"/>
      <c r="CF131" s="99"/>
      <c r="CG131" s="99"/>
      <c r="CH131" s="504">
        <f t="shared" si="20"/>
        <v>0</v>
      </c>
      <c r="CI131" s="107"/>
      <c r="CJ131" s="102"/>
      <c r="CK131" s="102"/>
      <c r="CL131" s="102"/>
      <c r="CM131" s="102"/>
      <c r="CN131" s="102"/>
      <c r="CO131" s="102"/>
      <c r="CP131" s="108"/>
      <c r="CQ131" s="97"/>
    </row>
    <row r="132" spans="2:95" ht="39" customHeight="1" x14ac:dyDescent="0.3">
      <c r="B132" s="97"/>
      <c r="C132" s="98"/>
      <c r="D132" s="97"/>
      <c r="E132" s="99"/>
      <c r="F132" s="99"/>
      <c r="G132" s="97"/>
      <c r="H132" s="100" t="s">
        <v>377</v>
      </c>
      <c r="I132" s="101"/>
      <c r="J132" s="99"/>
      <c r="K132" s="102"/>
      <c r="L132" s="103"/>
      <c r="M132" s="103"/>
      <c r="N132" s="103"/>
      <c r="O132" s="103"/>
      <c r="P132" s="99" t="s">
        <v>377</v>
      </c>
      <c r="Q132" s="99" t="s">
        <v>377</v>
      </c>
      <c r="R132" s="99" t="s">
        <v>377</v>
      </c>
      <c r="S132" s="99" t="s">
        <v>377</v>
      </c>
      <c r="T132" s="99" t="s">
        <v>377</v>
      </c>
      <c r="U132" s="99" t="s">
        <v>377</v>
      </c>
      <c r="V132" s="99" t="s">
        <v>377</v>
      </c>
      <c r="W132" s="99" t="s">
        <v>377</v>
      </c>
      <c r="X132" s="99" t="s">
        <v>377</v>
      </c>
      <c r="Y132" s="99" t="s">
        <v>377</v>
      </c>
      <c r="Z132" s="99" t="s">
        <v>377</v>
      </c>
      <c r="AA132" s="99" t="s">
        <v>377</v>
      </c>
      <c r="AB132" s="99" t="s">
        <v>377</v>
      </c>
      <c r="AC132" s="99" t="s">
        <v>377</v>
      </c>
      <c r="AD132" s="104" t="s">
        <v>377</v>
      </c>
      <c r="AE132" s="103" t="s">
        <v>377</v>
      </c>
      <c r="AF132" s="103"/>
      <c r="AG132" s="105"/>
      <c r="AH132" s="105"/>
      <c r="AI132" s="105"/>
      <c r="AJ132" s="105"/>
      <c r="AK132" s="105"/>
      <c r="AL132" s="105"/>
      <c r="AM132" s="106"/>
      <c r="AN132" s="288"/>
      <c r="AO132" s="105"/>
      <c r="AP132" s="105"/>
      <c r="AQ132" s="105"/>
      <c r="AR132" s="124"/>
      <c r="AS132" s="124"/>
      <c r="AT132" s="124"/>
      <c r="AU132" s="124"/>
      <c r="AV132" s="124"/>
      <c r="AW132" s="105"/>
      <c r="AX132" s="105"/>
      <c r="AY132" s="105"/>
      <c r="AZ132" s="105"/>
      <c r="BA132" s="105"/>
      <c r="BB132" s="105"/>
      <c r="BC132" s="105"/>
      <c r="BD132" s="105"/>
      <c r="BE132" s="105"/>
      <c r="BF132" s="105"/>
      <c r="BG132" s="105"/>
      <c r="BH132" s="105"/>
      <c r="BI132" s="105"/>
      <c r="BJ132" s="105"/>
      <c r="BK132" s="105"/>
      <c r="BL132" s="105"/>
      <c r="BM132" s="105"/>
      <c r="BN132" s="105"/>
      <c r="BO132" s="105"/>
      <c r="BP132" s="105"/>
      <c r="BQ132" s="105"/>
      <c r="BR132" s="105"/>
      <c r="BS132" s="105"/>
      <c r="BT132" s="105"/>
      <c r="BU132" s="99"/>
      <c r="BV132" s="99"/>
      <c r="BW132" s="99"/>
      <c r="BX132" s="99"/>
      <c r="BY132" s="99"/>
      <c r="BZ132" s="99"/>
      <c r="CA132" s="99"/>
      <c r="CB132" s="99"/>
      <c r="CC132" s="99"/>
      <c r="CD132" s="99"/>
      <c r="CE132" s="99"/>
      <c r="CF132" s="99"/>
      <c r="CG132" s="99"/>
      <c r="CH132" s="504">
        <f t="shared" si="20"/>
        <v>0</v>
      </c>
      <c r="CI132" s="107"/>
      <c r="CJ132" s="102"/>
      <c r="CK132" s="102"/>
      <c r="CL132" s="102"/>
      <c r="CM132" s="102"/>
      <c r="CN132" s="102"/>
      <c r="CO132" s="102"/>
      <c r="CP132" s="108"/>
      <c r="CQ132" s="97"/>
    </row>
    <row r="133" spans="2:95" ht="39" customHeight="1" x14ac:dyDescent="0.3">
      <c r="B133" s="97"/>
      <c r="C133" s="98"/>
      <c r="D133" s="97"/>
      <c r="E133" s="99"/>
      <c r="F133" s="99"/>
      <c r="G133" s="97"/>
      <c r="H133" s="100" t="s">
        <v>377</v>
      </c>
      <c r="I133" s="101"/>
      <c r="J133" s="99"/>
      <c r="K133" s="102"/>
      <c r="L133" s="103"/>
      <c r="M133" s="103"/>
      <c r="N133" s="103"/>
      <c r="O133" s="103"/>
      <c r="P133" s="99" t="s">
        <v>377</v>
      </c>
      <c r="Q133" s="99" t="s">
        <v>377</v>
      </c>
      <c r="R133" s="99" t="s">
        <v>377</v>
      </c>
      <c r="S133" s="99" t="s">
        <v>377</v>
      </c>
      <c r="T133" s="99" t="s">
        <v>377</v>
      </c>
      <c r="U133" s="99" t="s">
        <v>377</v>
      </c>
      <c r="V133" s="99" t="s">
        <v>377</v>
      </c>
      <c r="W133" s="99" t="s">
        <v>377</v>
      </c>
      <c r="X133" s="99" t="s">
        <v>377</v>
      </c>
      <c r="Y133" s="99" t="s">
        <v>377</v>
      </c>
      <c r="Z133" s="99" t="s">
        <v>377</v>
      </c>
      <c r="AA133" s="99" t="s">
        <v>377</v>
      </c>
      <c r="AB133" s="99" t="s">
        <v>377</v>
      </c>
      <c r="AC133" s="99" t="s">
        <v>377</v>
      </c>
      <c r="AD133" s="104" t="s">
        <v>377</v>
      </c>
      <c r="AE133" s="103" t="s">
        <v>377</v>
      </c>
      <c r="AF133" s="103"/>
      <c r="AG133" s="105"/>
      <c r="AH133" s="105"/>
      <c r="AI133" s="105"/>
      <c r="AJ133" s="105"/>
      <c r="AK133" s="105"/>
      <c r="AL133" s="105"/>
      <c r="AM133" s="106"/>
      <c r="AN133" s="288"/>
      <c r="AO133" s="105"/>
      <c r="AP133" s="105"/>
      <c r="AQ133" s="105"/>
      <c r="AR133" s="124"/>
      <c r="AS133" s="124"/>
      <c r="AT133" s="124"/>
      <c r="AU133" s="124"/>
      <c r="AV133" s="124"/>
      <c r="AW133" s="105"/>
      <c r="AX133" s="105"/>
      <c r="AY133" s="105"/>
      <c r="AZ133" s="105"/>
      <c r="BA133" s="105"/>
      <c r="BB133" s="105"/>
      <c r="BC133" s="105"/>
      <c r="BD133" s="105"/>
      <c r="BE133" s="105"/>
      <c r="BF133" s="105"/>
      <c r="BG133" s="105"/>
      <c r="BH133" s="105"/>
      <c r="BI133" s="105"/>
      <c r="BJ133" s="105"/>
      <c r="BK133" s="105"/>
      <c r="BL133" s="105"/>
      <c r="BM133" s="105"/>
      <c r="BN133" s="105"/>
      <c r="BO133" s="105"/>
      <c r="BP133" s="105"/>
      <c r="BQ133" s="105"/>
      <c r="BR133" s="105"/>
      <c r="BS133" s="105"/>
      <c r="BT133" s="105"/>
      <c r="BU133" s="99"/>
      <c r="BV133" s="99"/>
      <c r="BW133" s="99"/>
      <c r="BX133" s="99"/>
      <c r="BY133" s="99"/>
      <c r="BZ133" s="99"/>
      <c r="CA133" s="99"/>
      <c r="CB133" s="99"/>
      <c r="CC133" s="99"/>
      <c r="CD133" s="99"/>
      <c r="CE133" s="99"/>
      <c r="CF133" s="99"/>
      <c r="CG133" s="99"/>
      <c r="CH133" s="504">
        <f t="shared" ref="CH133:CH164" si="29">AJ133-AP133</f>
        <v>0</v>
      </c>
      <c r="CI133" s="107"/>
      <c r="CJ133" s="102"/>
      <c r="CK133" s="102"/>
      <c r="CL133" s="102"/>
      <c r="CM133" s="102"/>
      <c r="CN133" s="102"/>
      <c r="CO133" s="102"/>
      <c r="CP133" s="108"/>
      <c r="CQ133" s="97"/>
    </row>
    <row r="134" spans="2:95" ht="39" customHeight="1" x14ac:dyDescent="0.3">
      <c r="B134" s="97"/>
      <c r="C134" s="98"/>
      <c r="D134" s="97"/>
      <c r="E134" s="99"/>
      <c r="F134" s="99"/>
      <c r="G134" s="97"/>
      <c r="H134" s="100" t="s">
        <v>377</v>
      </c>
      <c r="I134" s="101"/>
      <c r="J134" s="99"/>
      <c r="K134" s="102"/>
      <c r="L134" s="103"/>
      <c r="M134" s="103"/>
      <c r="N134" s="103"/>
      <c r="O134" s="103"/>
      <c r="P134" s="99" t="s">
        <v>377</v>
      </c>
      <c r="Q134" s="99" t="s">
        <v>377</v>
      </c>
      <c r="R134" s="99" t="s">
        <v>377</v>
      </c>
      <c r="S134" s="99" t="s">
        <v>377</v>
      </c>
      <c r="T134" s="99" t="s">
        <v>377</v>
      </c>
      <c r="U134" s="99" t="s">
        <v>377</v>
      </c>
      <c r="V134" s="99" t="s">
        <v>377</v>
      </c>
      <c r="W134" s="99" t="s">
        <v>377</v>
      </c>
      <c r="X134" s="99" t="s">
        <v>377</v>
      </c>
      <c r="Y134" s="99" t="s">
        <v>377</v>
      </c>
      <c r="Z134" s="99" t="s">
        <v>377</v>
      </c>
      <c r="AA134" s="99" t="s">
        <v>377</v>
      </c>
      <c r="AB134" s="99" t="s">
        <v>377</v>
      </c>
      <c r="AC134" s="99" t="s">
        <v>377</v>
      </c>
      <c r="AD134" s="104" t="s">
        <v>377</v>
      </c>
      <c r="AE134" s="103" t="s">
        <v>377</v>
      </c>
      <c r="AF134" s="103"/>
      <c r="AG134" s="105"/>
      <c r="AH134" s="105"/>
      <c r="AI134" s="105"/>
      <c r="AJ134" s="105"/>
      <c r="AK134" s="105"/>
      <c r="AL134" s="105"/>
      <c r="AM134" s="106"/>
      <c r="AN134" s="288"/>
      <c r="AO134" s="105"/>
      <c r="AP134" s="105"/>
      <c r="AQ134" s="105"/>
      <c r="AR134" s="124"/>
      <c r="AS134" s="124"/>
      <c r="AT134" s="124"/>
      <c r="AU134" s="124"/>
      <c r="AV134" s="124"/>
      <c r="AW134" s="105"/>
      <c r="AX134" s="105"/>
      <c r="AY134" s="105"/>
      <c r="AZ134" s="105"/>
      <c r="BA134" s="105"/>
      <c r="BB134" s="105"/>
      <c r="BC134" s="105"/>
      <c r="BD134" s="105"/>
      <c r="BE134" s="105"/>
      <c r="BF134" s="105"/>
      <c r="BG134" s="105"/>
      <c r="BH134" s="105"/>
      <c r="BI134" s="105"/>
      <c r="BJ134" s="105"/>
      <c r="BK134" s="105"/>
      <c r="BL134" s="105"/>
      <c r="BM134" s="105"/>
      <c r="BN134" s="105"/>
      <c r="BO134" s="105"/>
      <c r="BP134" s="105"/>
      <c r="BQ134" s="105"/>
      <c r="BR134" s="105"/>
      <c r="BS134" s="105"/>
      <c r="BT134" s="105"/>
      <c r="BU134" s="99"/>
      <c r="BV134" s="99"/>
      <c r="BW134" s="99"/>
      <c r="BX134" s="99"/>
      <c r="BY134" s="99"/>
      <c r="BZ134" s="99"/>
      <c r="CA134" s="99"/>
      <c r="CB134" s="99"/>
      <c r="CC134" s="99"/>
      <c r="CD134" s="99"/>
      <c r="CE134" s="99"/>
      <c r="CF134" s="99"/>
      <c r="CG134" s="99"/>
      <c r="CH134" s="504">
        <f t="shared" si="29"/>
        <v>0</v>
      </c>
      <c r="CI134" s="107"/>
      <c r="CJ134" s="102"/>
      <c r="CK134" s="102"/>
      <c r="CL134" s="102"/>
      <c r="CM134" s="102"/>
      <c r="CN134" s="102"/>
      <c r="CO134" s="102"/>
      <c r="CP134" s="108"/>
      <c r="CQ134" s="97"/>
    </row>
    <row r="135" spans="2:95" ht="39" customHeight="1" x14ac:dyDescent="0.3">
      <c r="B135" s="97"/>
      <c r="C135" s="98"/>
      <c r="D135" s="97"/>
      <c r="E135" s="99"/>
      <c r="F135" s="99"/>
      <c r="G135" s="97"/>
      <c r="H135" s="100" t="s">
        <v>377</v>
      </c>
      <c r="I135" s="101"/>
      <c r="J135" s="99"/>
      <c r="K135" s="102"/>
      <c r="L135" s="103"/>
      <c r="M135" s="103"/>
      <c r="N135" s="103"/>
      <c r="O135" s="103"/>
      <c r="P135" s="99" t="s">
        <v>377</v>
      </c>
      <c r="Q135" s="99" t="s">
        <v>377</v>
      </c>
      <c r="R135" s="99" t="s">
        <v>377</v>
      </c>
      <c r="S135" s="99" t="s">
        <v>377</v>
      </c>
      <c r="T135" s="99" t="s">
        <v>377</v>
      </c>
      <c r="U135" s="99" t="s">
        <v>377</v>
      </c>
      <c r="V135" s="99" t="s">
        <v>377</v>
      </c>
      <c r="W135" s="99" t="s">
        <v>377</v>
      </c>
      <c r="X135" s="99" t="s">
        <v>377</v>
      </c>
      <c r="Y135" s="99" t="s">
        <v>377</v>
      </c>
      <c r="Z135" s="99" t="s">
        <v>377</v>
      </c>
      <c r="AA135" s="99" t="s">
        <v>377</v>
      </c>
      <c r="AB135" s="99" t="s">
        <v>377</v>
      </c>
      <c r="AC135" s="99" t="s">
        <v>377</v>
      </c>
      <c r="AD135" s="104" t="s">
        <v>377</v>
      </c>
      <c r="AE135" s="103" t="s">
        <v>377</v>
      </c>
      <c r="AF135" s="103"/>
      <c r="AG135" s="105"/>
      <c r="AH135" s="105"/>
      <c r="AI135" s="105"/>
      <c r="AJ135" s="105"/>
      <c r="AK135" s="105"/>
      <c r="AL135" s="105"/>
      <c r="AM135" s="106"/>
      <c r="AN135" s="288"/>
      <c r="AO135" s="105"/>
      <c r="AP135" s="105"/>
      <c r="AQ135" s="105"/>
      <c r="AR135" s="124"/>
      <c r="AS135" s="124"/>
      <c r="AT135" s="124"/>
      <c r="AU135" s="124"/>
      <c r="AV135" s="124"/>
      <c r="AW135" s="105"/>
      <c r="AX135" s="105"/>
      <c r="AY135" s="105"/>
      <c r="AZ135" s="105"/>
      <c r="BA135" s="105"/>
      <c r="BB135" s="105"/>
      <c r="BC135" s="105"/>
      <c r="BD135" s="105"/>
      <c r="BE135" s="105"/>
      <c r="BF135" s="105"/>
      <c r="BG135" s="105"/>
      <c r="BH135" s="105"/>
      <c r="BI135" s="105"/>
      <c r="BJ135" s="105"/>
      <c r="BK135" s="105"/>
      <c r="BL135" s="105"/>
      <c r="BM135" s="105"/>
      <c r="BN135" s="105"/>
      <c r="BO135" s="105"/>
      <c r="BP135" s="105"/>
      <c r="BQ135" s="105"/>
      <c r="BR135" s="105"/>
      <c r="BS135" s="105"/>
      <c r="BT135" s="105"/>
      <c r="BU135" s="99"/>
      <c r="BV135" s="99"/>
      <c r="BW135" s="99"/>
      <c r="BX135" s="99"/>
      <c r="BY135" s="99"/>
      <c r="BZ135" s="99"/>
      <c r="CA135" s="99"/>
      <c r="CB135" s="99"/>
      <c r="CC135" s="99"/>
      <c r="CD135" s="99"/>
      <c r="CE135" s="99"/>
      <c r="CF135" s="99"/>
      <c r="CG135" s="99"/>
      <c r="CH135" s="504">
        <f t="shared" si="29"/>
        <v>0</v>
      </c>
      <c r="CI135" s="107"/>
      <c r="CJ135" s="102"/>
      <c r="CK135" s="102"/>
      <c r="CL135" s="102"/>
      <c r="CM135" s="102"/>
      <c r="CN135" s="102"/>
      <c r="CO135" s="102"/>
      <c r="CP135" s="108"/>
      <c r="CQ135" s="97"/>
    </row>
    <row r="136" spans="2:95" ht="39" customHeight="1" x14ac:dyDescent="0.3">
      <c r="B136" s="97"/>
      <c r="C136" s="98"/>
      <c r="D136" s="97"/>
      <c r="E136" s="99"/>
      <c r="F136" s="99"/>
      <c r="G136" s="97"/>
      <c r="H136" s="100" t="s">
        <v>377</v>
      </c>
      <c r="I136" s="101"/>
      <c r="J136" s="99"/>
      <c r="K136" s="102"/>
      <c r="L136" s="103"/>
      <c r="M136" s="103"/>
      <c r="N136" s="103"/>
      <c r="O136" s="103"/>
      <c r="P136" s="99" t="s">
        <v>377</v>
      </c>
      <c r="Q136" s="99" t="s">
        <v>377</v>
      </c>
      <c r="R136" s="99" t="s">
        <v>377</v>
      </c>
      <c r="S136" s="99" t="s">
        <v>377</v>
      </c>
      <c r="T136" s="99" t="s">
        <v>377</v>
      </c>
      <c r="U136" s="99" t="s">
        <v>377</v>
      </c>
      <c r="V136" s="99" t="s">
        <v>377</v>
      </c>
      <c r="W136" s="99" t="s">
        <v>377</v>
      </c>
      <c r="X136" s="99" t="s">
        <v>377</v>
      </c>
      <c r="Y136" s="99" t="s">
        <v>377</v>
      </c>
      <c r="Z136" s="99" t="s">
        <v>377</v>
      </c>
      <c r="AA136" s="99" t="s">
        <v>377</v>
      </c>
      <c r="AB136" s="99" t="s">
        <v>377</v>
      </c>
      <c r="AC136" s="99" t="s">
        <v>377</v>
      </c>
      <c r="AD136" s="104" t="s">
        <v>377</v>
      </c>
      <c r="AE136" s="103" t="s">
        <v>377</v>
      </c>
      <c r="AF136" s="103"/>
      <c r="AG136" s="105"/>
      <c r="AH136" s="105"/>
      <c r="AI136" s="105"/>
      <c r="AJ136" s="105"/>
      <c r="AK136" s="105"/>
      <c r="AL136" s="105"/>
      <c r="AM136" s="106"/>
      <c r="AN136" s="288"/>
      <c r="AO136" s="105"/>
      <c r="AP136" s="105"/>
      <c r="AQ136" s="105"/>
      <c r="AR136" s="124"/>
      <c r="AS136" s="124"/>
      <c r="AT136" s="124"/>
      <c r="AU136" s="124"/>
      <c r="AV136" s="124"/>
      <c r="AW136" s="105"/>
      <c r="AX136" s="105"/>
      <c r="AY136" s="105"/>
      <c r="AZ136" s="105"/>
      <c r="BA136" s="105"/>
      <c r="BB136" s="105"/>
      <c r="BC136" s="105"/>
      <c r="BD136" s="105"/>
      <c r="BE136" s="105"/>
      <c r="BF136" s="105"/>
      <c r="BG136" s="105"/>
      <c r="BH136" s="105"/>
      <c r="BI136" s="105"/>
      <c r="BJ136" s="105"/>
      <c r="BK136" s="105"/>
      <c r="BL136" s="105"/>
      <c r="BM136" s="105"/>
      <c r="BN136" s="105"/>
      <c r="BO136" s="105"/>
      <c r="BP136" s="105"/>
      <c r="BQ136" s="105"/>
      <c r="BR136" s="105"/>
      <c r="BS136" s="105"/>
      <c r="BT136" s="105"/>
      <c r="BU136" s="99"/>
      <c r="BV136" s="99"/>
      <c r="BW136" s="99"/>
      <c r="BX136" s="99"/>
      <c r="BY136" s="99"/>
      <c r="BZ136" s="99"/>
      <c r="CA136" s="99"/>
      <c r="CB136" s="99"/>
      <c r="CC136" s="99"/>
      <c r="CD136" s="99"/>
      <c r="CE136" s="99"/>
      <c r="CF136" s="99"/>
      <c r="CG136" s="99"/>
      <c r="CH136" s="504">
        <f t="shared" si="29"/>
        <v>0</v>
      </c>
      <c r="CI136" s="107"/>
      <c r="CJ136" s="102"/>
      <c r="CK136" s="102"/>
      <c r="CL136" s="102"/>
      <c r="CM136" s="102"/>
      <c r="CN136" s="102"/>
      <c r="CO136" s="102"/>
      <c r="CP136" s="108"/>
      <c r="CQ136" s="97"/>
    </row>
    <row r="137" spans="2:95" ht="39" customHeight="1" x14ac:dyDescent="0.3">
      <c r="B137" s="97"/>
      <c r="C137" s="98"/>
      <c r="D137" s="97"/>
      <c r="E137" s="99"/>
      <c r="F137" s="99"/>
      <c r="G137" s="97"/>
      <c r="H137" s="100" t="s">
        <v>377</v>
      </c>
      <c r="I137" s="101"/>
      <c r="J137" s="99"/>
      <c r="K137" s="102"/>
      <c r="L137" s="103"/>
      <c r="M137" s="103"/>
      <c r="N137" s="103"/>
      <c r="O137" s="103"/>
      <c r="P137" s="99" t="s">
        <v>377</v>
      </c>
      <c r="Q137" s="99" t="s">
        <v>377</v>
      </c>
      <c r="R137" s="99" t="s">
        <v>377</v>
      </c>
      <c r="S137" s="99" t="s">
        <v>377</v>
      </c>
      <c r="T137" s="99" t="s">
        <v>377</v>
      </c>
      <c r="U137" s="99" t="s">
        <v>377</v>
      </c>
      <c r="V137" s="99" t="s">
        <v>377</v>
      </c>
      <c r="W137" s="99" t="s">
        <v>377</v>
      </c>
      <c r="X137" s="99" t="s">
        <v>377</v>
      </c>
      <c r="Y137" s="99" t="s">
        <v>377</v>
      </c>
      <c r="Z137" s="99" t="s">
        <v>377</v>
      </c>
      <c r="AA137" s="99" t="s">
        <v>377</v>
      </c>
      <c r="AB137" s="99" t="s">
        <v>377</v>
      </c>
      <c r="AC137" s="99" t="s">
        <v>377</v>
      </c>
      <c r="AD137" s="104" t="s">
        <v>377</v>
      </c>
      <c r="AE137" s="103" t="s">
        <v>377</v>
      </c>
      <c r="AF137" s="103"/>
      <c r="AG137" s="105"/>
      <c r="AH137" s="105"/>
      <c r="AI137" s="105"/>
      <c r="AJ137" s="105"/>
      <c r="AK137" s="105"/>
      <c r="AL137" s="105"/>
      <c r="AM137" s="106"/>
      <c r="AN137" s="288"/>
      <c r="AO137" s="105"/>
      <c r="AP137" s="105"/>
      <c r="AQ137" s="105"/>
      <c r="AR137" s="124"/>
      <c r="AS137" s="124"/>
      <c r="AT137" s="124"/>
      <c r="AU137" s="124"/>
      <c r="AV137" s="124"/>
      <c r="AW137" s="105"/>
      <c r="AX137" s="105"/>
      <c r="AY137" s="105"/>
      <c r="AZ137" s="105"/>
      <c r="BA137" s="105"/>
      <c r="BB137" s="105"/>
      <c r="BC137" s="105"/>
      <c r="BD137" s="105"/>
      <c r="BE137" s="105"/>
      <c r="BF137" s="105"/>
      <c r="BG137" s="105"/>
      <c r="BH137" s="105"/>
      <c r="BI137" s="105"/>
      <c r="BJ137" s="105"/>
      <c r="BK137" s="105"/>
      <c r="BL137" s="105"/>
      <c r="BM137" s="105"/>
      <c r="BN137" s="105"/>
      <c r="BO137" s="105"/>
      <c r="BP137" s="105"/>
      <c r="BQ137" s="105"/>
      <c r="BR137" s="105"/>
      <c r="BS137" s="105"/>
      <c r="BT137" s="105"/>
      <c r="BU137" s="99"/>
      <c r="BV137" s="99"/>
      <c r="BW137" s="99"/>
      <c r="BX137" s="99"/>
      <c r="BY137" s="99"/>
      <c r="BZ137" s="99"/>
      <c r="CA137" s="99"/>
      <c r="CB137" s="99"/>
      <c r="CC137" s="99"/>
      <c r="CD137" s="99"/>
      <c r="CE137" s="99"/>
      <c r="CF137" s="99"/>
      <c r="CG137" s="99"/>
      <c r="CH137" s="504">
        <f t="shared" si="29"/>
        <v>0</v>
      </c>
      <c r="CI137" s="107"/>
      <c r="CJ137" s="102"/>
      <c r="CK137" s="102"/>
      <c r="CL137" s="102"/>
      <c r="CM137" s="102"/>
      <c r="CN137" s="102"/>
      <c r="CO137" s="102"/>
      <c r="CP137" s="108"/>
      <c r="CQ137" s="97"/>
    </row>
    <row r="138" spans="2:95" ht="39" customHeight="1" x14ac:dyDescent="0.3">
      <c r="B138" s="97"/>
      <c r="C138" s="98"/>
      <c r="D138" s="97"/>
      <c r="E138" s="99"/>
      <c r="F138" s="99"/>
      <c r="G138" s="97"/>
      <c r="H138" s="100" t="s">
        <v>377</v>
      </c>
      <c r="I138" s="101"/>
      <c r="J138" s="99"/>
      <c r="K138" s="102"/>
      <c r="L138" s="103"/>
      <c r="M138" s="103"/>
      <c r="N138" s="103"/>
      <c r="O138" s="103"/>
      <c r="P138" s="99" t="s">
        <v>377</v>
      </c>
      <c r="Q138" s="99" t="s">
        <v>377</v>
      </c>
      <c r="R138" s="99" t="s">
        <v>377</v>
      </c>
      <c r="S138" s="99" t="s">
        <v>377</v>
      </c>
      <c r="T138" s="99" t="s">
        <v>377</v>
      </c>
      <c r="U138" s="99" t="s">
        <v>377</v>
      </c>
      <c r="V138" s="99" t="s">
        <v>377</v>
      </c>
      <c r="W138" s="99" t="s">
        <v>377</v>
      </c>
      <c r="X138" s="99" t="s">
        <v>377</v>
      </c>
      <c r="Y138" s="99" t="s">
        <v>377</v>
      </c>
      <c r="Z138" s="99" t="s">
        <v>377</v>
      </c>
      <c r="AA138" s="99" t="s">
        <v>377</v>
      </c>
      <c r="AB138" s="99" t="s">
        <v>377</v>
      </c>
      <c r="AC138" s="99" t="s">
        <v>377</v>
      </c>
      <c r="AD138" s="104" t="s">
        <v>377</v>
      </c>
      <c r="AE138" s="103" t="s">
        <v>377</v>
      </c>
      <c r="AF138" s="103"/>
      <c r="AG138" s="105"/>
      <c r="AH138" s="105"/>
      <c r="AI138" s="105"/>
      <c r="AJ138" s="105"/>
      <c r="AK138" s="105"/>
      <c r="AL138" s="105"/>
      <c r="AM138" s="106"/>
      <c r="AN138" s="288"/>
      <c r="AO138" s="105"/>
      <c r="AP138" s="105"/>
      <c r="AQ138" s="105"/>
      <c r="AR138" s="124"/>
      <c r="AS138" s="124"/>
      <c r="AT138" s="124"/>
      <c r="AU138" s="124"/>
      <c r="AV138" s="124"/>
      <c r="AW138" s="105"/>
      <c r="AX138" s="105"/>
      <c r="AY138" s="105"/>
      <c r="AZ138" s="105"/>
      <c r="BA138" s="105"/>
      <c r="BB138" s="105"/>
      <c r="BC138" s="105"/>
      <c r="BD138" s="105"/>
      <c r="BE138" s="105"/>
      <c r="BF138" s="105"/>
      <c r="BG138" s="105"/>
      <c r="BH138" s="105"/>
      <c r="BI138" s="105"/>
      <c r="BJ138" s="105"/>
      <c r="BK138" s="105"/>
      <c r="BL138" s="105"/>
      <c r="BM138" s="105"/>
      <c r="BN138" s="105"/>
      <c r="BO138" s="105"/>
      <c r="BP138" s="105"/>
      <c r="BQ138" s="105"/>
      <c r="BR138" s="105"/>
      <c r="BS138" s="105"/>
      <c r="BT138" s="105"/>
      <c r="BU138" s="99"/>
      <c r="BV138" s="99"/>
      <c r="BW138" s="99"/>
      <c r="BX138" s="99"/>
      <c r="BY138" s="99"/>
      <c r="BZ138" s="99"/>
      <c r="CA138" s="99"/>
      <c r="CB138" s="99"/>
      <c r="CC138" s="99"/>
      <c r="CD138" s="99"/>
      <c r="CE138" s="99"/>
      <c r="CF138" s="99"/>
      <c r="CG138" s="99"/>
      <c r="CH138" s="504">
        <f t="shared" si="29"/>
        <v>0</v>
      </c>
      <c r="CI138" s="107"/>
      <c r="CJ138" s="102"/>
      <c r="CK138" s="102"/>
      <c r="CL138" s="102"/>
      <c r="CM138" s="102"/>
      <c r="CN138" s="102"/>
      <c r="CO138" s="102"/>
      <c r="CP138" s="108"/>
      <c r="CQ138" s="97"/>
    </row>
    <row r="139" spans="2:95" ht="39" customHeight="1" x14ac:dyDescent="0.3">
      <c r="B139" s="97"/>
      <c r="C139" s="98"/>
      <c r="D139" s="97"/>
      <c r="E139" s="99"/>
      <c r="F139" s="99"/>
      <c r="G139" s="97"/>
      <c r="H139" s="100" t="s">
        <v>377</v>
      </c>
      <c r="I139" s="101"/>
      <c r="J139" s="99"/>
      <c r="K139" s="102"/>
      <c r="L139" s="103"/>
      <c r="M139" s="103"/>
      <c r="N139" s="103"/>
      <c r="O139" s="103"/>
      <c r="P139" s="99" t="s">
        <v>377</v>
      </c>
      <c r="Q139" s="99" t="s">
        <v>377</v>
      </c>
      <c r="R139" s="99" t="s">
        <v>377</v>
      </c>
      <c r="S139" s="99" t="s">
        <v>377</v>
      </c>
      <c r="T139" s="99" t="s">
        <v>377</v>
      </c>
      <c r="U139" s="99" t="s">
        <v>377</v>
      </c>
      <c r="V139" s="99" t="s">
        <v>377</v>
      </c>
      <c r="W139" s="99" t="s">
        <v>377</v>
      </c>
      <c r="X139" s="99" t="s">
        <v>377</v>
      </c>
      <c r="Y139" s="99" t="s">
        <v>377</v>
      </c>
      <c r="Z139" s="99" t="s">
        <v>377</v>
      </c>
      <c r="AA139" s="99" t="s">
        <v>377</v>
      </c>
      <c r="AB139" s="99" t="s">
        <v>377</v>
      </c>
      <c r="AC139" s="99" t="s">
        <v>377</v>
      </c>
      <c r="AD139" s="104" t="s">
        <v>377</v>
      </c>
      <c r="AE139" s="103" t="s">
        <v>377</v>
      </c>
      <c r="AF139" s="103"/>
      <c r="AG139" s="105"/>
      <c r="AH139" s="105"/>
      <c r="AI139" s="105"/>
      <c r="AJ139" s="105"/>
      <c r="AK139" s="105"/>
      <c r="AL139" s="105"/>
      <c r="AM139" s="106"/>
      <c r="AN139" s="288"/>
      <c r="AO139" s="105"/>
      <c r="AP139" s="105"/>
      <c r="AQ139" s="105"/>
      <c r="AR139" s="124"/>
      <c r="AS139" s="124"/>
      <c r="AT139" s="124"/>
      <c r="AU139" s="124"/>
      <c r="AV139" s="124"/>
      <c r="AW139" s="105"/>
      <c r="AX139" s="105"/>
      <c r="AY139" s="105"/>
      <c r="AZ139" s="105"/>
      <c r="BA139" s="105"/>
      <c r="BB139" s="105"/>
      <c r="BC139" s="105"/>
      <c r="BD139" s="105"/>
      <c r="BE139" s="105"/>
      <c r="BF139" s="105"/>
      <c r="BG139" s="105"/>
      <c r="BH139" s="105"/>
      <c r="BI139" s="105"/>
      <c r="BJ139" s="105"/>
      <c r="BK139" s="105"/>
      <c r="BL139" s="105"/>
      <c r="BM139" s="105"/>
      <c r="BN139" s="105"/>
      <c r="BO139" s="105"/>
      <c r="BP139" s="105"/>
      <c r="BQ139" s="105"/>
      <c r="BR139" s="105"/>
      <c r="BS139" s="105"/>
      <c r="BT139" s="105"/>
      <c r="BU139" s="99"/>
      <c r="BV139" s="99"/>
      <c r="BW139" s="99"/>
      <c r="BX139" s="99"/>
      <c r="BY139" s="99"/>
      <c r="BZ139" s="99"/>
      <c r="CA139" s="99"/>
      <c r="CB139" s="99"/>
      <c r="CC139" s="99"/>
      <c r="CD139" s="99"/>
      <c r="CE139" s="99"/>
      <c r="CF139" s="99"/>
      <c r="CG139" s="99"/>
      <c r="CH139" s="504">
        <f t="shared" si="29"/>
        <v>0</v>
      </c>
      <c r="CI139" s="107"/>
      <c r="CJ139" s="102"/>
      <c r="CK139" s="102"/>
      <c r="CL139" s="102"/>
      <c r="CM139" s="102"/>
      <c r="CN139" s="102"/>
      <c r="CO139" s="102"/>
      <c r="CP139" s="108"/>
      <c r="CQ139" s="97"/>
    </row>
    <row r="140" spans="2:95" ht="39" customHeight="1" x14ac:dyDescent="0.3">
      <c r="B140" s="97"/>
      <c r="C140" s="98"/>
      <c r="D140" s="97"/>
      <c r="E140" s="99"/>
      <c r="F140" s="99"/>
      <c r="G140" s="97"/>
      <c r="H140" s="100" t="s">
        <v>377</v>
      </c>
      <c r="I140" s="101"/>
      <c r="J140" s="99"/>
      <c r="K140" s="102"/>
      <c r="L140" s="103"/>
      <c r="M140" s="103"/>
      <c r="N140" s="103"/>
      <c r="O140" s="103"/>
      <c r="P140" s="99" t="s">
        <v>377</v>
      </c>
      <c r="Q140" s="99" t="s">
        <v>377</v>
      </c>
      <c r="R140" s="99" t="s">
        <v>377</v>
      </c>
      <c r="S140" s="99" t="s">
        <v>377</v>
      </c>
      <c r="T140" s="99" t="s">
        <v>377</v>
      </c>
      <c r="U140" s="99" t="s">
        <v>377</v>
      </c>
      <c r="V140" s="99" t="s">
        <v>377</v>
      </c>
      <c r="W140" s="99" t="s">
        <v>377</v>
      </c>
      <c r="X140" s="99" t="s">
        <v>377</v>
      </c>
      <c r="Y140" s="99" t="s">
        <v>377</v>
      </c>
      <c r="Z140" s="99" t="s">
        <v>377</v>
      </c>
      <c r="AA140" s="99" t="s">
        <v>377</v>
      </c>
      <c r="AB140" s="99" t="s">
        <v>377</v>
      </c>
      <c r="AC140" s="99" t="s">
        <v>377</v>
      </c>
      <c r="AD140" s="104" t="s">
        <v>377</v>
      </c>
      <c r="AE140" s="103" t="s">
        <v>377</v>
      </c>
      <c r="AF140" s="103"/>
      <c r="AG140" s="105"/>
      <c r="AH140" s="105"/>
      <c r="AI140" s="105"/>
      <c r="AJ140" s="105"/>
      <c r="AK140" s="105"/>
      <c r="AL140" s="105"/>
      <c r="AM140" s="106"/>
      <c r="AN140" s="288"/>
      <c r="AO140" s="105"/>
      <c r="AP140" s="105"/>
      <c r="AQ140" s="105"/>
      <c r="AR140" s="124"/>
      <c r="AS140" s="124"/>
      <c r="AT140" s="124"/>
      <c r="AU140" s="124"/>
      <c r="AV140" s="124"/>
      <c r="AW140" s="105"/>
      <c r="AX140" s="105"/>
      <c r="AY140" s="105"/>
      <c r="AZ140" s="105"/>
      <c r="BA140" s="105"/>
      <c r="BB140" s="105"/>
      <c r="BC140" s="105"/>
      <c r="BD140" s="105"/>
      <c r="BE140" s="105"/>
      <c r="BF140" s="105"/>
      <c r="BG140" s="105"/>
      <c r="BH140" s="105"/>
      <c r="BI140" s="105"/>
      <c r="BJ140" s="105"/>
      <c r="BK140" s="105"/>
      <c r="BL140" s="105"/>
      <c r="BM140" s="105"/>
      <c r="BN140" s="105"/>
      <c r="BO140" s="105"/>
      <c r="BP140" s="105"/>
      <c r="BQ140" s="105"/>
      <c r="BR140" s="105"/>
      <c r="BS140" s="105"/>
      <c r="BT140" s="105"/>
      <c r="BU140" s="99"/>
      <c r="BV140" s="99"/>
      <c r="BW140" s="99"/>
      <c r="BX140" s="99"/>
      <c r="BY140" s="99"/>
      <c r="BZ140" s="99"/>
      <c r="CA140" s="99"/>
      <c r="CB140" s="99"/>
      <c r="CC140" s="99"/>
      <c r="CD140" s="99"/>
      <c r="CE140" s="99"/>
      <c r="CF140" s="99"/>
      <c r="CG140" s="99"/>
      <c r="CH140" s="504">
        <f t="shared" si="29"/>
        <v>0</v>
      </c>
      <c r="CI140" s="107"/>
      <c r="CJ140" s="102"/>
      <c r="CK140" s="102"/>
      <c r="CL140" s="102"/>
      <c r="CM140" s="102"/>
      <c r="CN140" s="102"/>
      <c r="CO140" s="102"/>
      <c r="CP140" s="108"/>
      <c r="CQ140" s="97"/>
    </row>
    <row r="141" spans="2:95" ht="39" customHeight="1" x14ac:dyDescent="0.3">
      <c r="B141" s="97"/>
      <c r="C141" s="98"/>
      <c r="D141" s="97"/>
      <c r="E141" s="99"/>
      <c r="F141" s="99"/>
      <c r="G141" s="97"/>
      <c r="H141" s="100" t="s">
        <v>377</v>
      </c>
      <c r="I141" s="101"/>
      <c r="J141" s="99"/>
      <c r="K141" s="102"/>
      <c r="L141" s="103"/>
      <c r="M141" s="103"/>
      <c r="N141" s="103"/>
      <c r="O141" s="103"/>
      <c r="P141" s="99" t="s">
        <v>377</v>
      </c>
      <c r="Q141" s="99" t="s">
        <v>377</v>
      </c>
      <c r="R141" s="99" t="s">
        <v>377</v>
      </c>
      <c r="S141" s="99" t="s">
        <v>377</v>
      </c>
      <c r="T141" s="99" t="s">
        <v>377</v>
      </c>
      <c r="U141" s="99" t="s">
        <v>377</v>
      </c>
      <c r="V141" s="99" t="s">
        <v>377</v>
      </c>
      <c r="W141" s="99" t="s">
        <v>377</v>
      </c>
      <c r="X141" s="99" t="s">
        <v>377</v>
      </c>
      <c r="Y141" s="99" t="s">
        <v>377</v>
      </c>
      <c r="Z141" s="99" t="s">
        <v>377</v>
      </c>
      <c r="AA141" s="99" t="s">
        <v>377</v>
      </c>
      <c r="AB141" s="99" t="s">
        <v>377</v>
      </c>
      <c r="AC141" s="99" t="s">
        <v>377</v>
      </c>
      <c r="AD141" s="104" t="s">
        <v>377</v>
      </c>
      <c r="AE141" s="103" t="s">
        <v>377</v>
      </c>
      <c r="AF141" s="103"/>
      <c r="AG141" s="105"/>
      <c r="AH141" s="105"/>
      <c r="AI141" s="105"/>
      <c r="AJ141" s="105"/>
      <c r="AK141" s="105"/>
      <c r="AL141" s="105"/>
      <c r="AM141" s="106"/>
      <c r="AN141" s="288"/>
      <c r="AO141" s="105"/>
      <c r="AP141" s="105"/>
      <c r="AQ141" s="105"/>
      <c r="AR141" s="124"/>
      <c r="AS141" s="124"/>
      <c r="AT141" s="124"/>
      <c r="AU141" s="124"/>
      <c r="AV141" s="124"/>
      <c r="AW141" s="105"/>
      <c r="AX141" s="105"/>
      <c r="AY141" s="105"/>
      <c r="AZ141" s="105"/>
      <c r="BA141" s="105"/>
      <c r="BB141" s="105"/>
      <c r="BC141" s="105"/>
      <c r="BD141" s="105"/>
      <c r="BE141" s="105"/>
      <c r="BF141" s="105"/>
      <c r="BG141" s="105"/>
      <c r="BH141" s="105"/>
      <c r="BI141" s="105"/>
      <c r="BJ141" s="105"/>
      <c r="BK141" s="105"/>
      <c r="BL141" s="105"/>
      <c r="BM141" s="105"/>
      <c r="BN141" s="105"/>
      <c r="BO141" s="105"/>
      <c r="BP141" s="105"/>
      <c r="BQ141" s="105"/>
      <c r="BR141" s="105"/>
      <c r="BS141" s="105"/>
      <c r="BT141" s="105"/>
      <c r="BU141" s="99"/>
      <c r="BV141" s="99"/>
      <c r="BW141" s="99"/>
      <c r="BX141" s="99"/>
      <c r="BY141" s="99"/>
      <c r="BZ141" s="99"/>
      <c r="CA141" s="99"/>
      <c r="CB141" s="99"/>
      <c r="CC141" s="99"/>
      <c r="CD141" s="99"/>
      <c r="CE141" s="99"/>
      <c r="CF141" s="99"/>
      <c r="CG141" s="99"/>
      <c r="CH141" s="504">
        <f t="shared" si="29"/>
        <v>0</v>
      </c>
      <c r="CI141" s="107"/>
      <c r="CJ141" s="102"/>
      <c r="CK141" s="102"/>
      <c r="CL141" s="102"/>
      <c r="CM141" s="102"/>
      <c r="CN141" s="102"/>
      <c r="CO141" s="102"/>
      <c r="CP141" s="108"/>
      <c r="CQ141" s="97"/>
    </row>
    <row r="142" spans="2:95" ht="39" customHeight="1" x14ac:dyDescent="0.3">
      <c r="B142" s="97"/>
      <c r="C142" s="98"/>
      <c r="D142" s="97"/>
      <c r="E142" s="99"/>
      <c r="F142" s="99"/>
      <c r="G142" s="97"/>
      <c r="H142" s="100" t="s">
        <v>377</v>
      </c>
      <c r="I142" s="101"/>
      <c r="J142" s="99"/>
      <c r="K142" s="102"/>
      <c r="L142" s="103"/>
      <c r="M142" s="103"/>
      <c r="N142" s="103"/>
      <c r="O142" s="103"/>
      <c r="P142" s="99" t="s">
        <v>377</v>
      </c>
      <c r="Q142" s="99" t="s">
        <v>377</v>
      </c>
      <c r="R142" s="99" t="s">
        <v>377</v>
      </c>
      <c r="S142" s="99" t="s">
        <v>377</v>
      </c>
      <c r="T142" s="99" t="s">
        <v>377</v>
      </c>
      <c r="U142" s="99" t="s">
        <v>377</v>
      </c>
      <c r="V142" s="99" t="s">
        <v>377</v>
      </c>
      <c r="W142" s="99" t="s">
        <v>377</v>
      </c>
      <c r="X142" s="99" t="s">
        <v>377</v>
      </c>
      <c r="Y142" s="99" t="s">
        <v>377</v>
      </c>
      <c r="Z142" s="99" t="s">
        <v>377</v>
      </c>
      <c r="AA142" s="99" t="s">
        <v>377</v>
      </c>
      <c r="AB142" s="99" t="s">
        <v>377</v>
      </c>
      <c r="AC142" s="99" t="s">
        <v>377</v>
      </c>
      <c r="AD142" s="104" t="s">
        <v>377</v>
      </c>
      <c r="AE142" s="103" t="s">
        <v>377</v>
      </c>
      <c r="AF142" s="103"/>
      <c r="AG142" s="105"/>
      <c r="AH142" s="105"/>
      <c r="AI142" s="105"/>
      <c r="AJ142" s="105"/>
      <c r="AK142" s="105"/>
      <c r="AL142" s="105"/>
      <c r="AM142" s="106"/>
      <c r="AN142" s="288"/>
      <c r="AO142" s="105"/>
      <c r="AP142" s="105"/>
      <c r="AQ142" s="105"/>
      <c r="AR142" s="124"/>
      <c r="AS142" s="124"/>
      <c r="AT142" s="124"/>
      <c r="AU142" s="124"/>
      <c r="AV142" s="124"/>
      <c r="AW142" s="105"/>
      <c r="AX142" s="105"/>
      <c r="AY142" s="105"/>
      <c r="AZ142" s="105"/>
      <c r="BA142" s="105"/>
      <c r="BB142" s="105"/>
      <c r="BC142" s="105"/>
      <c r="BD142" s="105"/>
      <c r="BE142" s="105"/>
      <c r="BF142" s="105"/>
      <c r="BG142" s="105"/>
      <c r="BH142" s="105"/>
      <c r="BI142" s="105"/>
      <c r="BJ142" s="105"/>
      <c r="BK142" s="105"/>
      <c r="BL142" s="105"/>
      <c r="BM142" s="105"/>
      <c r="BN142" s="105"/>
      <c r="BO142" s="105"/>
      <c r="BP142" s="105"/>
      <c r="BQ142" s="105"/>
      <c r="BR142" s="105"/>
      <c r="BS142" s="105"/>
      <c r="BT142" s="105"/>
      <c r="BU142" s="99"/>
      <c r="BV142" s="99"/>
      <c r="BW142" s="99"/>
      <c r="BX142" s="99"/>
      <c r="BY142" s="99"/>
      <c r="BZ142" s="99"/>
      <c r="CA142" s="99"/>
      <c r="CB142" s="99"/>
      <c r="CC142" s="99"/>
      <c r="CD142" s="99"/>
      <c r="CE142" s="99"/>
      <c r="CF142" s="99"/>
      <c r="CG142" s="99"/>
      <c r="CH142" s="504">
        <f t="shared" si="29"/>
        <v>0</v>
      </c>
      <c r="CI142" s="107"/>
      <c r="CJ142" s="102"/>
      <c r="CK142" s="102"/>
      <c r="CL142" s="102"/>
      <c r="CM142" s="102"/>
      <c r="CN142" s="102"/>
      <c r="CO142" s="102"/>
      <c r="CP142" s="108"/>
      <c r="CQ142" s="97"/>
    </row>
    <row r="143" spans="2:95" ht="39" customHeight="1" x14ac:dyDescent="0.3">
      <c r="B143" s="97"/>
      <c r="C143" s="98"/>
      <c r="D143" s="97"/>
      <c r="E143" s="99"/>
      <c r="F143" s="99"/>
      <c r="G143" s="97"/>
      <c r="H143" s="100" t="s">
        <v>377</v>
      </c>
      <c r="I143" s="101"/>
      <c r="J143" s="99"/>
      <c r="K143" s="102"/>
      <c r="L143" s="103"/>
      <c r="M143" s="103"/>
      <c r="N143" s="103"/>
      <c r="O143" s="103"/>
      <c r="P143" s="99" t="s">
        <v>377</v>
      </c>
      <c r="Q143" s="99" t="s">
        <v>377</v>
      </c>
      <c r="R143" s="99" t="s">
        <v>377</v>
      </c>
      <c r="S143" s="99" t="s">
        <v>377</v>
      </c>
      <c r="T143" s="99" t="s">
        <v>377</v>
      </c>
      <c r="U143" s="99" t="s">
        <v>377</v>
      </c>
      <c r="V143" s="99" t="s">
        <v>377</v>
      </c>
      <c r="W143" s="99" t="s">
        <v>377</v>
      </c>
      <c r="X143" s="99" t="s">
        <v>377</v>
      </c>
      <c r="Y143" s="99" t="s">
        <v>377</v>
      </c>
      <c r="Z143" s="99" t="s">
        <v>377</v>
      </c>
      <c r="AA143" s="99" t="s">
        <v>377</v>
      </c>
      <c r="AB143" s="99" t="s">
        <v>377</v>
      </c>
      <c r="AC143" s="99" t="s">
        <v>377</v>
      </c>
      <c r="AD143" s="104" t="s">
        <v>377</v>
      </c>
      <c r="AE143" s="103" t="s">
        <v>377</v>
      </c>
      <c r="AF143" s="103"/>
      <c r="AG143" s="105"/>
      <c r="AH143" s="105"/>
      <c r="AI143" s="105"/>
      <c r="AJ143" s="105"/>
      <c r="AK143" s="105"/>
      <c r="AL143" s="105"/>
      <c r="AM143" s="106"/>
      <c r="AN143" s="288"/>
      <c r="AO143" s="105"/>
      <c r="AP143" s="105"/>
      <c r="AQ143" s="105"/>
      <c r="AR143" s="124"/>
      <c r="AS143" s="124"/>
      <c r="AT143" s="124"/>
      <c r="AU143" s="124"/>
      <c r="AV143" s="124"/>
      <c r="AW143" s="105"/>
      <c r="AX143" s="105"/>
      <c r="AY143" s="105"/>
      <c r="AZ143" s="105"/>
      <c r="BA143" s="105"/>
      <c r="BB143" s="105"/>
      <c r="BC143" s="105"/>
      <c r="BD143" s="105"/>
      <c r="BE143" s="105"/>
      <c r="BF143" s="105"/>
      <c r="BG143" s="105"/>
      <c r="BH143" s="105"/>
      <c r="BI143" s="105"/>
      <c r="BJ143" s="105"/>
      <c r="BK143" s="105"/>
      <c r="BL143" s="105"/>
      <c r="BM143" s="105"/>
      <c r="BN143" s="105"/>
      <c r="BO143" s="105"/>
      <c r="BP143" s="105"/>
      <c r="BQ143" s="105"/>
      <c r="BR143" s="105"/>
      <c r="BS143" s="105"/>
      <c r="BT143" s="105"/>
      <c r="BU143" s="99"/>
      <c r="BV143" s="99"/>
      <c r="BW143" s="99"/>
      <c r="BX143" s="99"/>
      <c r="BY143" s="99"/>
      <c r="BZ143" s="99"/>
      <c r="CA143" s="99"/>
      <c r="CB143" s="99"/>
      <c r="CC143" s="99"/>
      <c r="CD143" s="99"/>
      <c r="CE143" s="99"/>
      <c r="CF143" s="99"/>
      <c r="CG143" s="99"/>
      <c r="CH143" s="504">
        <f t="shared" si="29"/>
        <v>0</v>
      </c>
      <c r="CI143" s="107"/>
      <c r="CJ143" s="102"/>
      <c r="CK143" s="102"/>
      <c r="CL143" s="102"/>
      <c r="CM143" s="102"/>
      <c r="CN143" s="102"/>
      <c r="CO143" s="102"/>
      <c r="CP143" s="108"/>
      <c r="CQ143" s="97"/>
    </row>
    <row r="144" spans="2:95" ht="39" customHeight="1" x14ac:dyDescent="0.3">
      <c r="B144" s="97"/>
      <c r="C144" s="98"/>
      <c r="D144" s="97"/>
      <c r="E144" s="99"/>
      <c r="F144" s="99"/>
      <c r="G144" s="97"/>
      <c r="H144" s="100" t="s">
        <v>377</v>
      </c>
      <c r="I144" s="101"/>
      <c r="J144" s="99"/>
      <c r="K144" s="102"/>
      <c r="L144" s="103"/>
      <c r="M144" s="103"/>
      <c r="N144" s="103"/>
      <c r="O144" s="103"/>
      <c r="P144" s="99" t="s">
        <v>377</v>
      </c>
      <c r="Q144" s="99" t="s">
        <v>377</v>
      </c>
      <c r="R144" s="99" t="s">
        <v>377</v>
      </c>
      <c r="S144" s="99" t="s">
        <v>377</v>
      </c>
      <c r="T144" s="99" t="s">
        <v>377</v>
      </c>
      <c r="U144" s="99" t="s">
        <v>377</v>
      </c>
      <c r="V144" s="99" t="s">
        <v>377</v>
      </c>
      <c r="W144" s="99" t="s">
        <v>377</v>
      </c>
      <c r="X144" s="99" t="s">
        <v>377</v>
      </c>
      <c r="Y144" s="99" t="s">
        <v>377</v>
      </c>
      <c r="Z144" s="99" t="s">
        <v>377</v>
      </c>
      <c r="AA144" s="99" t="s">
        <v>377</v>
      </c>
      <c r="AB144" s="99" t="s">
        <v>377</v>
      </c>
      <c r="AC144" s="99" t="s">
        <v>377</v>
      </c>
      <c r="AD144" s="104" t="s">
        <v>377</v>
      </c>
      <c r="AE144" s="103" t="s">
        <v>377</v>
      </c>
      <c r="AF144" s="103"/>
      <c r="AG144" s="105"/>
      <c r="AH144" s="105"/>
      <c r="AI144" s="105"/>
      <c r="AJ144" s="105"/>
      <c r="AK144" s="105"/>
      <c r="AL144" s="105"/>
      <c r="AM144" s="106"/>
      <c r="AN144" s="288"/>
      <c r="AO144" s="105"/>
      <c r="AP144" s="105"/>
      <c r="AQ144" s="105"/>
      <c r="AR144" s="124"/>
      <c r="AS144" s="124"/>
      <c r="AT144" s="124"/>
      <c r="AU144" s="124"/>
      <c r="AV144" s="124"/>
      <c r="AW144" s="105"/>
      <c r="AX144" s="105"/>
      <c r="AY144" s="105"/>
      <c r="AZ144" s="105"/>
      <c r="BA144" s="105"/>
      <c r="BB144" s="105"/>
      <c r="BC144" s="105"/>
      <c r="BD144" s="105"/>
      <c r="BE144" s="105"/>
      <c r="BF144" s="105"/>
      <c r="BG144" s="105"/>
      <c r="BH144" s="105"/>
      <c r="BI144" s="105"/>
      <c r="BJ144" s="105"/>
      <c r="BK144" s="105"/>
      <c r="BL144" s="105"/>
      <c r="BM144" s="105"/>
      <c r="BN144" s="105"/>
      <c r="BO144" s="105"/>
      <c r="BP144" s="105"/>
      <c r="BQ144" s="105"/>
      <c r="BR144" s="105"/>
      <c r="BS144" s="105"/>
      <c r="BT144" s="105"/>
      <c r="BU144" s="99"/>
      <c r="BV144" s="99"/>
      <c r="BW144" s="99"/>
      <c r="BX144" s="99"/>
      <c r="BY144" s="99"/>
      <c r="BZ144" s="99"/>
      <c r="CA144" s="99"/>
      <c r="CB144" s="99"/>
      <c r="CC144" s="99"/>
      <c r="CD144" s="99"/>
      <c r="CE144" s="99"/>
      <c r="CF144" s="99"/>
      <c r="CG144" s="99"/>
      <c r="CH144" s="504">
        <f t="shared" si="29"/>
        <v>0</v>
      </c>
      <c r="CI144" s="107"/>
      <c r="CJ144" s="102"/>
      <c r="CK144" s="102"/>
      <c r="CL144" s="102"/>
      <c r="CM144" s="102"/>
      <c r="CN144" s="102"/>
      <c r="CO144" s="102"/>
      <c r="CP144" s="108"/>
      <c r="CQ144" s="97"/>
    </row>
    <row r="145" spans="2:95" ht="39" customHeight="1" x14ac:dyDescent="0.3">
      <c r="B145" s="97"/>
      <c r="C145" s="98"/>
      <c r="D145" s="97"/>
      <c r="E145" s="99"/>
      <c r="F145" s="99"/>
      <c r="G145" s="97"/>
      <c r="H145" s="100" t="s">
        <v>377</v>
      </c>
      <c r="I145" s="101"/>
      <c r="J145" s="99"/>
      <c r="K145" s="102"/>
      <c r="L145" s="103"/>
      <c r="M145" s="103"/>
      <c r="N145" s="103"/>
      <c r="O145" s="103"/>
      <c r="P145" s="99" t="s">
        <v>377</v>
      </c>
      <c r="Q145" s="99" t="s">
        <v>377</v>
      </c>
      <c r="R145" s="99" t="s">
        <v>377</v>
      </c>
      <c r="S145" s="99" t="s">
        <v>377</v>
      </c>
      <c r="T145" s="99" t="s">
        <v>377</v>
      </c>
      <c r="U145" s="99" t="s">
        <v>377</v>
      </c>
      <c r="V145" s="99" t="s">
        <v>377</v>
      </c>
      <c r="W145" s="99" t="s">
        <v>377</v>
      </c>
      <c r="X145" s="99" t="s">
        <v>377</v>
      </c>
      <c r="Y145" s="99" t="s">
        <v>377</v>
      </c>
      <c r="Z145" s="99" t="s">
        <v>377</v>
      </c>
      <c r="AA145" s="99" t="s">
        <v>377</v>
      </c>
      <c r="AB145" s="99" t="s">
        <v>377</v>
      </c>
      <c r="AC145" s="99" t="s">
        <v>377</v>
      </c>
      <c r="AD145" s="104" t="s">
        <v>377</v>
      </c>
      <c r="AE145" s="103" t="s">
        <v>377</v>
      </c>
      <c r="AF145" s="103"/>
      <c r="AG145" s="105"/>
      <c r="AH145" s="105"/>
      <c r="AI145" s="105"/>
      <c r="AJ145" s="105"/>
      <c r="AK145" s="105"/>
      <c r="AL145" s="105"/>
      <c r="AM145" s="106"/>
      <c r="AN145" s="288"/>
      <c r="AO145" s="105"/>
      <c r="AP145" s="105"/>
      <c r="AQ145" s="105"/>
      <c r="AR145" s="124"/>
      <c r="AS145" s="124"/>
      <c r="AT145" s="124"/>
      <c r="AU145" s="124"/>
      <c r="AV145" s="124"/>
      <c r="AW145" s="105"/>
      <c r="AX145" s="105"/>
      <c r="AY145" s="105"/>
      <c r="AZ145" s="105"/>
      <c r="BA145" s="105"/>
      <c r="BB145" s="105"/>
      <c r="BC145" s="105"/>
      <c r="BD145" s="105"/>
      <c r="BE145" s="105"/>
      <c r="BF145" s="105"/>
      <c r="BG145" s="105"/>
      <c r="BH145" s="105"/>
      <c r="BI145" s="105"/>
      <c r="BJ145" s="105"/>
      <c r="BK145" s="105"/>
      <c r="BL145" s="105"/>
      <c r="BM145" s="105"/>
      <c r="BN145" s="105"/>
      <c r="BO145" s="105"/>
      <c r="BP145" s="105"/>
      <c r="BQ145" s="105"/>
      <c r="BR145" s="105"/>
      <c r="BS145" s="105"/>
      <c r="BT145" s="105"/>
      <c r="BU145" s="99"/>
      <c r="BV145" s="99"/>
      <c r="BW145" s="99"/>
      <c r="BX145" s="99"/>
      <c r="BY145" s="99"/>
      <c r="BZ145" s="99"/>
      <c r="CA145" s="99"/>
      <c r="CB145" s="99"/>
      <c r="CC145" s="99"/>
      <c r="CD145" s="99"/>
      <c r="CE145" s="99"/>
      <c r="CF145" s="99"/>
      <c r="CG145" s="99"/>
      <c r="CH145" s="504">
        <f t="shared" si="29"/>
        <v>0</v>
      </c>
      <c r="CI145" s="107"/>
      <c r="CJ145" s="102"/>
      <c r="CK145" s="102"/>
      <c r="CL145" s="102"/>
      <c r="CM145" s="102"/>
      <c r="CN145" s="102"/>
      <c r="CO145" s="102"/>
      <c r="CP145" s="108"/>
      <c r="CQ145" s="97"/>
    </row>
    <row r="146" spans="2:95" ht="39" customHeight="1" x14ac:dyDescent="0.3">
      <c r="B146" s="97"/>
      <c r="C146" s="98"/>
      <c r="D146" s="97"/>
      <c r="E146" s="99"/>
      <c r="F146" s="99"/>
      <c r="G146" s="97"/>
      <c r="H146" s="100" t="s">
        <v>377</v>
      </c>
      <c r="I146" s="101"/>
      <c r="J146" s="99"/>
      <c r="K146" s="102"/>
      <c r="L146" s="103"/>
      <c r="M146" s="103"/>
      <c r="N146" s="103"/>
      <c r="O146" s="103"/>
      <c r="P146" s="99" t="s">
        <v>377</v>
      </c>
      <c r="Q146" s="99" t="s">
        <v>377</v>
      </c>
      <c r="R146" s="99" t="s">
        <v>377</v>
      </c>
      <c r="S146" s="99" t="s">
        <v>377</v>
      </c>
      <c r="T146" s="99" t="s">
        <v>377</v>
      </c>
      <c r="U146" s="99" t="s">
        <v>377</v>
      </c>
      <c r="V146" s="99" t="s">
        <v>377</v>
      </c>
      <c r="W146" s="99" t="s">
        <v>377</v>
      </c>
      <c r="X146" s="99" t="s">
        <v>377</v>
      </c>
      <c r="Y146" s="99" t="s">
        <v>377</v>
      </c>
      <c r="Z146" s="99" t="s">
        <v>377</v>
      </c>
      <c r="AA146" s="99" t="s">
        <v>377</v>
      </c>
      <c r="AB146" s="99" t="s">
        <v>377</v>
      </c>
      <c r="AC146" s="99" t="s">
        <v>377</v>
      </c>
      <c r="AD146" s="104" t="s">
        <v>377</v>
      </c>
      <c r="AE146" s="103" t="s">
        <v>377</v>
      </c>
      <c r="AF146" s="103"/>
      <c r="AG146" s="105"/>
      <c r="AH146" s="105"/>
      <c r="AI146" s="105"/>
      <c r="AJ146" s="105"/>
      <c r="AK146" s="105"/>
      <c r="AL146" s="105"/>
      <c r="AM146" s="106"/>
      <c r="AN146" s="288"/>
      <c r="AO146" s="105"/>
      <c r="AP146" s="105"/>
      <c r="AQ146" s="105"/>
      <c r="AR146" s="124"/>
      <c r="AS146" s="124"/>
      <c r="AT146" s="124"/>
      <c r="AU146" s="124"/>
      <c r="AV146" s="124"/>
      <c r="AW146" s="105"/>
      <c r="AX146" s="105"/>
      <c r="AY146" s="105"/>
      <c r="AZ146" s="105"/>
      <c r="BA146" s="105"/>
      <c r="BB146" s="105"/>
      <c r="BC146" s="105"/>
      <c r="BD146" s="105"/>
      <c r="BE146" s="105"/>
      <c r="BF146" s="105"/>
      <c r="BG146" s="105"/>
      <c r="BH146" s="105"/>
      <c r="BI146" s="105"/>
      <c r="BJ146" s="105"/>
      <c r="BK146" s="105"/>
      <c r="BL146" s="105"/>
      <c r="BM146" s="105"/>
      <c r="BN146" s="105"/>
      <c r="BO146" s="105"/>
      <c r="BP146" s="105"/>
      <c r="BQ146" s="105"/>
      <c r="BR146" s="105"/>
      <c r="BS146" s="105"/>
      <c r="BT146" s="105"/>
      <c r="BU146" s="99"/>
      <c r="BV146" s="99"/>
      <c r="BW146" s="99"/>
      <c r="BX146" s="99"/>
      <c r="BY146" s="99"/>
      <c r="BZ146" s="99"/>
      <c r="CA146" s="99"/>
      <c r="CB146" s="99"/>
      <c r="CC146" s="99"/>
      <c r="CD146" s="99"/>
      <c r="CE146" s="99"/>
      <c r="CF146" s="99"/>
      <c r="CG146" s="99"/>
      <c r="CH146" s="504">
        <f t="shared" si="29"/>
        <v>0</v>
      </c>
      <c r="CI146" s="107"/>
      <c r="CJ146" s="102"/>
      <c r="CK146" s="102"/>
      <c r="CL146" s="102"/>
      <c r="CM146" s="102"/>
      <c r="CN146" s="102"/>
      <c r="CO146" s="102"/>
      <c r="CP146" s="108"/>
      <c r="CQ146" s="97"/>
    </row>
    <row r="147" spans="2:95" ht="39" customHeight="1" x14ac:dyDescent="0.3">
      <c r="B147" s="97"/>
      <c r="C147" s="98"/>
      <c r="D147" s="97"/>
      <c r="E147" s="99"/>
      <c r="F147" s="99"/>
      <c r="G147" s="97"/>
      <c r="H147" s="100" t="s">
        <v>377</v>
      </c>
      <c r="I147" s="101"/>
      <c r="J147" s="99"/>
      <c r="K147" s="102"/>
      <c r="L147" s="103"/>
      <c r="M147" s="103"/>
      <c r="N147" s="103"/>
      <c r="O147" s="103"/>
      <c r="P147" s="99" t="s">
        <v>377</v>
      </c>
      <c r="Q147" s="99" t="s">
        <v>377</v>
      </c>
      <c r="R147" s="99" t="s">
        <v>377</v>
      </c>
      <c r="S147" s="99" t="s">
        <v>377</v>
      </c>
      <c r="T147" s="99" t="s">
        <v>377</v>
      </c>
      <c r="U147" s="99" t="s">
        <v>377</v>
      </c>
      <c r="V147" s="99" t="s">
        <v>377</v>
      </c>
      <c r="W147" s="99" t="s">
        <v>377</v>
      </c>
      <c r="X147" s="99" t="s">
        <v>377</v>
      </c>
      <c r="Y147" s="99" t="s">
        <v>377</v>
      </c>
      <c r="Z147" s="99" t="s">
        <v>377</v>
      </c>
      <c r="AA147" s="99" t="s">
        <v>377</v>
      </c>
      <c r="AB147" s="99" t="s">
        <v>377</v>
      </c>
      <c r="AC147" s="99" t="s">
        <v>377</v>
      </c>
      <c r="AD147" s="104" t="s">
        <v>377</v>
      </c>
      <c r="AE147" s="103" t="s">
        <v>377</v>
      </c>
      <c r="AF147" s="103"/>
      <c r="AG147" s="105"/>
      <c r="AH147" s="105"/>
      <c r="AI147" s="105"/>
      <c r="AJ147" s="105"/>
      <c r="AK147" s="105"/>
      <c r="AL147" s="105"/>
      <c r="AM147" s="106"/>
      <c r="AN147" s="288"/>
      <c r="AO147" s="105"/>
      <c r="AP147" s="105"/>
      <c r="AQ147" s="105"/>
      <c r="AR147" s="124"/>
      <c r="AS147" s="124"/>
      <c r="AT147" s="124"/>
      <c r="AU147" s="124"/>
      <c r="AV147" s="124"/>
      <c r="AW147" s="105"/>
      <c r="AX147" s="105"/>
      <c r="AY147" s="105"/>
      <c r="AZ147" s="105"/>
      <c r="BA147" s="105"/>
      <c r="BB147" s="105"/>
      <c r="BC147" s="105"/>
      <c r="BD147" s="105"/>
      <c r="BE147" s="105"/>
      <c r="BF147" s="105"/>
      <c r="BG147" s="105"/>
      <c r="BH147" s="105"/>
      <c r="BI147" s="105"/>
      <c r="BJ147" s="105"/>
      <c r="BK147" s="105"/>
      <c r="BL147" s="105"/>
      <c r="BM147" s="105"/>
      <c r="BN147" s="105"/>
      <c r="BO147" s="105"/>
      <c r="BP147" s="105"/>
      <c r="BQ147" s="105"/>
      <c r="BR147" s="105"/>
      <c r="BS147" s="105"/>
      <c r="BT147" s="105"/>
      <c r="BU147" s="99"/>
      <c r="BV147" s="99"/>
      <c r="BW147" s="99"/>
      <c r="BX147" s="99"/>
      <c r="BY147" s="99"/>
      <c r="BZ147" s="99"/>
      <c r="CA147" s="99"/>
      <c r="CB147" s="99"/>
      <c r="CC147" s="99"/>
      <c r="CD147" s="99"/>
      <c r="CE147" s="99"/>
      <c r="CF147" s="99"/>
      <c r="CG147" s="99"/>
      <c r="CH147" s="504">
        <f t="shared" si="29"/>
        <v>0</v>
      </c>
      <c r="CI147" s="107"/>
      <c r="CJ147" s="102"/>
      <c r="CK147" s="102"/>
      <c r="CL147" s="102"/>
      <c r="CM147" s="102"/>
      <c r="CN147" s="102"/>
      <c r="CO147" s="102"/>
      <c r="CP147" s="108"/>
      <c r="CQ147" s="97"/>
    </row>
    <row r="148" spans="2:95" ht="39" customHeight="1" x14ac:dyDescent="0.3">
      <c r="B148" s="97"/>
      <c r="C148" s="98"/>
      <c r="D148" s="97"/>
      <c r="E148" s="99"/>
      <c r="F148" s="99"/>
      <c r="G148" s="97"/>
      <c r="H148" s="100" t="s">
        <v>377</v>
      </c>
      <c r="I148" s="101"/>
      <c r="J148" s="99"/>
      <c r="K148" s="102"/>
      <c r="L148" s="103"/>
      <c r="M148" s="103"/>
      <c r="N148" s="103"/>
      <c r="O148" s="103"/>
      <c r="P148" s="99" t="s">
        <v>377</v>
      </c>
      <c r="Q148" s="99" t="s">
        <v>377</v>
      </c>
      <c r="R148" s="99" t="s">
        <v>377</v>
      </c>
      <c r="S148" s="99" t="s">
        <v>377</v>
      </c>
      <c r="T148" s="99" t="s">
        <v>377</v>
      </c>
      <c r="U148" s="99" t="s">
        <v>377</v>
      </c>
      <c r="V148" s="99" t="s">
        <v>377</v>
      </c>
      <c r="W148" s="99" t="s">
        <v>377</v>
      </c>
      <c r="X148" s="99" t="s">
        <v>377</v>
      </c>
      <c r="Y148" s="99" t="s">
        <v>377</v>
      </c>
      <c r="Z148" s="99" t="s">
        <v>377</v>
      </c>
      <c r="AA148" s="99" t="s">
        <v>377</v>
      </c>
      <c r="AB148" s="99" t="s">
        <v>377</v>
      </c>
      <c r="AC148" s="99" t="s">
        <v>377</v>
      </c>
      <c r="AD148" s="104" t="s">
        <v>377</v>
      </c>
      <c r="AE148" s="103" t="s">
        <v>377</v>
      </c>
      <c r="AF148" s="103"/>
      <c r="AG148" s="105"/>
      <c r="AH148" s="105"/>
      <c r="AI148" s="105"/>
      <c r="AJ148" s="105"/>
      <c r="AK148" s="105"/>
      <c r="AL148" s="105"/>
      <c r="AM148" s="106"/>
      <c r="AN148" s="288"/>
      <c r="AO148" s="105"/>
      <c r="AP148" s="105"/>
      <c r="AQ148" s="105"/>
      <c r="AR148" s="124"/>
      <c r="AS148" s="124"/>
      <c r="AT148" s="124"/>
      <c r="AU148" s="124"/>
      <c r="AV148" s="124"/>
      <c r="AW148" s="105"/>
      <c r="AX148" s="105"/>
      <c r="AY148" s="105"/>
      <c r="AZ148" s="105"/>
      <c r="BA148" s="105"/>
      <c r="BB148" s="105"/>
      <c r="BC148" s="105"/>
      <c r="BD148" s="105"/>
      <c r="BE148" s="105"/>
      <c r="BF148" s="105"/>
      <c r="BG148" s="105"/>
      <c r="BH148" s="105"/>
      <c r="BI148" s="105"/>
      <c r="BJ148" s="105"/>
      <c r="BK148" s="105"/>
      <c r="BL148" s="105"/>
      <c r="BM148" s="105"/>
      <c r="BN148" s="105"/>
      <c r="BO148" s="105"/>
      <c r="BP148" s="105"/>
      <c r="BQ148" s="105"/>
      <c r="BR148" s="105"/>
      <c r="BS148" s="105"/>
      <c r="BT148" s="105"/>
      <c r="BU148" s="99"/>
      <c r="BV148" s="99"/>
      <c r="BW148" s="99"/>
      <c r="BX148" s="99"/>
      <c r="BY148" s="99"/>
      <c r="BZ148" s="99"/>
      <c r="CA148" s="99"/>
      <c r="CB148" s="99"/>
      <c r="CC148" s="99"/>
      <c r="CD148" s="99"/>
      <c r="CE148" s="99"/>
      <c r="CF148" s="99"/>
      <c r="CG148" s="99"/>
      <c r="CH148" s="504">
        <f t="shared" si="29"/>
        <v>0</v>
      </c>
      <c r="CI148" s="107"/>
      <c r="CJ148" s="102"/>
      <c r="CK148" s="102"/>
      <c r="CL148" s="102"/>
      <c r="CM148" s="102"/>
      <c r="CN148" s="102"/>
      <c r="CO148" s="102"/>
      <c r="CP148" s="108"/>
      <c r="CQ148" s="97"/>
    </row>
    <row r="149" spans="2:95" ht="39" customHeight="1" x14ac:dyDescent="0.3">
      <c r="B149" s="97"/>
      <c r="C149" s="98"/>
      <c r="D149" s="97"/>
      <c r="E149" s="99"/>
      <c r="F149" s="99"/>
      <c r="G149" s="97"/>
      <c r="H149" s="100" t="s">
        <v>377</v>
      </c>
      <c r="I149" s="101"/>
      <c r="J149" s="99"/>
      <c r="K149" s="102"/>
      <c r="L149" s="103"/>
      <c r="M149" s="103"/>
      <c r="N149" s="103"/>
      <c r="O149" s="103"/>
      <c r="P149" s="99" t="s">
        <v>377</v>
      </c>
      <c r="Q149" s="99" t="s">
        <v>377</v>
      </c>
      <c r="R149" s="99" t="s">
        <v>377</v>
      </c>
      <c r="S149" s="99" t="s">
        <v>377</v>
      </c>
      <c r="T149" s="99" t="s">
        <v>377</v>
      </c>
      <c r="U149" s="99" t="s">
        <v>377</v>
      </c>
      <c r="V149" s="99" t="s">
        <v>377</v>
      </c>
      <c r="W149" s="99" t="s">
        <v>377</v>
      </c>
      <c r="X149" s="99" t="s">
        <v>377</v>
      </c>
      <c r="Y149" s="99" t="s">
        <v>377</v>
      </c>
      <c r="Z149" s="99" t="s">
        <v>377</v>
      </c>
      <c r="AA149" s="99" t="s">
        <v>377</v>
      </c>
      <c r="AB149" s="99" t="s">
        <v>377</v>
      </c>
      <c r="AC149" s="99" t="s">
        <v>377</v>
      </c>
      <c r="AD149" s="104" t="s">
        <v>377</v>
      </c>
      <c r="AE149" s="103" t="s">
        <v>377</v>
      </c>
      <c r="AF149" s="103"/>
      <c r="AG149" s="105"/>
      <c r="AH149" s="105"/>
      <c r="AI149" s="105"/>
      <c r="AJ149" s="105"/>
      <c r="AK149" s="105"/>
      <c r="AL149" s="105"/>
      <c r="AM149" s="106"/>
      <c r="AN149" s="288"/>
      <c r="AO149" s="105"/>
      <c r="AP149" s="105"/>
      <c r="AQ149" s="105"/>
      <c r="AR149" s="124"/>
      <c r="AS149" s="124"/>
      <c r="AT149" s="124"/>
      <c r="AU149" s="124"/>
      <c r="AV149" s="124"/>
      <c r="AW149" s="105"/>
      <c r="AX149" s="105"/>
      <c r="AY149" s="105"/>
      <c r="AZ149" s="105"/>
      <c r="BA149" s="105"/>
      <c r="BB149" s="105"/>
      <c r="BC149" s="105"/>
      <c r="BD149" s="105"/>
      <c r="BE149" s="105"/>
      <c r="BF149" s="105"/>
      <c r="BG149" s="105"/>
      <c r="BH149" s="105"/>
      <c r="BI149" s="105"/>
      <c r="BJ149" s="105"/>
      <c r="BK149" s="105"/>
      <c r="BL149" s="105"/>
      <c r="BM149" s="105"/>
      <c r="BN149" s="105"/>
      <c r="BO149" s="105"/>
      <c r="BP149" s="105"/>
      <c r="BQ149" s="105"/>
      <c r="BR149" s="105"/>
      <c r="BS149" s="105"/>
      <c r="BT149" s="105"/>
      <c r="BU149" s="99"/>
      <c r="BV149" s="99"/>
      <c r="BW149" s="99"/>
      <c r="BX149" s="99"/>
      <c r="BY149" s="99"/>
      <c r="BZ149" s="99"/>
      <c r="CA149" s="99"/>
      <c r="CB149" s="99"/>
      <c r="CC149" s="99"/>
      <c r="CD149" s="99"/>
      <c r="CE149" s="99"/>
      <c r="CF149" s="99"/>
      <c r="CG149" s="99"/>
      <c r="CH149" s="504">
        <f t="shared" si="29"/>
        <v>0</v>
      </c>
      <c r="CI149" s="107"/>
      <c r="CJ149" s="102"/>
      <c r="CK149" s="102"/>
      <c r="CL149" s="102"/>
      <c r="CM149" s="102"/>
      <c r="CN149" s="102"/>
      <c r="CO149" s="102"/>
      <c r="CP149" s="108"/>
      <c r="CQ149" s="97"/>
    </row>
    <row r="150" spans="2:95" ht="39" customHeight="1" x14ac:dyDescent="0.3">
      <c r="B150" s="97"/>
      <c r="C150" s="98"/>
      <c r="D150" s="97"/>
      <c r="E150" s="99"/>
      <c r="F150" s="99"/>
      <c r="G150" s="97"/>
      <c r="H150" s="100" t="s">
        <v>377</v>
      </c>
      <c r="I150" s="101"/>
      <c r="J150" s="99"/>
      <c r="K150" s="102"/>
      <c r="L150" s="103"/>
      <c r="M150" s="103"/>
      <c r="N150" s="103"/>
      <c r="O150" s="103"/>
      <c r="P150" s="99" t="s">
        <v>377</v>
      </c>
      <c r="Q150" s="99" t="s">
        <v>377</v>
      </c>
      <c r="R150" s="99" t="s">
        <v>377</v>
      </c>
      <c r="S150" s="99" t="s">
        <v>377</v>
      </c>
      <c r="T150" s="99" t="s">
        <v>377</v>
      </c>
      <c r="U150" s="99" t="s">
        <v>377</v>
      </c>
      <c r="V150" s="99" t="s">
        <v>377</v>
      </c>
      <c r="W150" s="99" t="s">
        <v>377</v>
      </c>
      <c r="X150" s="99" t="s">
        <v>377</v>
      </c>
      <c r="Y150" s="99" t="s">
        <v>377</v>
      </c>
      <c r="Z150" s="99" t="s">
        <v>377</v>
      </c>
      <c r="AA150" s="99" t="s">
        <v>377</v>
      </c>
      <c r="AB150" s="99" t="s">
        <v>377</v>
      </c>
      <c r="AC150" s="99" t="s">
        <v>377</v>
      </c>
      <c r="AD150" s="104" t="s">
        <v>377</v>
      </c>
      <c r="AE150" s="103" t="s">
        <v>377</v>
      </c>
      <c r="AF150" s="103"/>
      <c r="AG150" s="105"/>
      <c r="AH150" s="105"/>
      <c r="AI150" s="105"/>
      <c r="AJ150" s="105"/>
      <c r="AK150" s="105"/>
      <c r="AL150" s="105"/>
      <c r="AM150" s="106"/>
      <c r="AN150" s="288"/>
      <c r="AO150" s="105"/>
      <c r="AP150" s="105"/>
      <c r="AQ150" s="105"/>
      <c r="AR150" s="124"/>
      <c r="AS150" s="124"/>
      <c r="AT150" s="124"/>
      <c r="AU150" s="124"/>
      <c r="AV150" s="124"/>
      <c r="AW150" s="105"/>
      <c r="AX150" s="105"/>
      <c r="AY150" s="105"/>
      <c r="AZ150" s="105"/>
      <c r="BA150" s="105"/>
      <c r="BB150" s="105"/>
      <c r="BC150" s="105"/>
      <c r="BD150" s="105"/>
      <c r="BE150" s="105"/>
      <c r="BF150" s="105"/>
      <c r="BG150" s="105"/>
      <c r="BH150" s="105"/>
      <c r="BI150" s="105"/>
      <c r="BJ150" s="105"/>
      <c r="BK150" s="105"/>
      <c r="BL150" s="105"/>
      <c r="BM150" s="105"/>
      <c r="BN150" s="105"/>
      <c r="BO150" s="105"/>
      <c r="BP150" s="105"/>
      <c r="BQ150" s="105"/>
      <c r="BR150" s="105"/>
      <c r="BS150" s="105"/>
      <c r="BT150" s="105"/>
      <c r="BU150" s="99"/>
      <c r="BV150" s="99"/>
      <c r="BW150" s="99"/>
      <c r="BX150" s="99"/>
      <c r="BY150" s="99"/>
      <c r="BZ150" s="99"/>
      <c r="CA150" s="99"/>
      <c r="CB150" s="99"/>
      <c r="CC150" s="99"/>
      <c r="CD150" s="99"/>
      <c r="CE150" s="99"/>
      <c r="CF150" s="99"/>
      <c r="CG150" s="99"/>
      <c r="CH150" s="504">
        <f t="shared" si="29"/>
        <v>0</v>
      </c>
      <c r="CI150" s="107"/>
      <c r="CJ150" s="102"/>
      <c r="CK150" s="102"/>
      <c r="CL150" s="102"/>
      <c r="CM150" s="102"/>
      <c r="CN150" s="102"/>
      <c r="CO150" s="102"/>
      <c r="CP150" s="108"/>
      <c r="CQ150" s="97"/>
    </row>
    <row r="151" spans="2:95" ht="39" customHeight="1" x14ac:dyDescent="0.3">
      <c r="B151" s="97"/>
      <c r="C151" s="98"/>
      <c r="D151" s="97"/>
      <c r="E151" s="99"/>
      <c r="F151" s="99"/>
      <c r="G151" s="97"/>
      <c r="H151" s="100" t="s">
        <v>377</v>
      </c>
      <c r="I151" s="101"/>
      <c r="J151" s="99"/>
      <c r="K151" s="102"/>
      <c r="L151" s="103"/>
      <c r="M151" s="103"/>
      <c r="N151" s="103"/>
      <c r="O151" s="103"/>
      <c r="P151" s="99" t="s">
        <v>377</v>
      </c>
      <c r="Q151" s="99" t="s">
        <v>377</v>
      </c>
      <c r="R151" s="99" t="s">
        <v>377</v>
      </c>
      <c r="S151" s="99" t="s">
        <v>377</v>
      </c>
      <c r="T151" s="99" t="s">
        <v>377</v>
      </c>
      <c r="U151" s="99" t="s">
        <v>377</v>
      </c>
      <c r="V151" s="99" t="s">
        <v>377</v>
      </c>
      <c r="W151" s="99" t="s">
        <v>377</v>
      </c>
      <c r="X151" s="99" t="s">
        <v>377</v>
      </c>
      <c r="Y151" s="99" t="s">
        <v>377</v>
      </c>
      <c r="Z151" s="99" t="s">
        <v>377</v>
      </c>
      <c r="AA151" s="99" t="s">
        <v>377</v>
      </c>
      <c r="AB151" s="99" t="s">
        <v>377</v>
      </c>
      <c r="AC151" s="99" t="s">
        <v>377</v>
      </c>
      <c r="AD151" s="104" t="s">
        <v>377</v>
      </c>
      <c r="AE151" s="103" t="s">
        <v>377</v>
      </c>
      <c r="AF151" s="103"/>
      <c r="AG151" s="105"/>
      <c r="AH151" s="105"/>
      <c r="AI151" s="105"/>
      <c r="AJ151" s="105"/>
      <c r="AK151" s="105"/>
      <c r="AL151" s="105"/>
      <c r="AM151" s="106"/>
      <c r="AN151" s="288"/>
      <c r="AO151" s="105"/>
      <c r="AP151" s="105"/>
      <c r="AQ151" s="105"/>
      <c r="AR151" s="124"/>
      <c r="AS151" s="124"/>
      <c r="AT151" s="124"/>
      <c r="AU151" s="124"/>
      <c r="AV151" s="124"/>
      <c r="AW151" s="105"/>
      <c r="AX151" s="105"/>
      <c r="AY151" s="105"/>
      <c r="AZ151" s="105"/>
      <c r="BA151" s="105"/>
      <c r="BB151" s="105"/>
      <c r="BC151" s="105"/>
      <c r="BD151" s="105"/>
      <c r="BE151" s="105"/>
      <c r="BF151" s="105"/>
      <c r="BG151" s="105"/>
      <c r="BH151" s="105"/>
      <c r="BI151" s="105"/>
      <c r="BJ151" s="105"/>
      <c r="BK151" s="105"/>
      <c r="BL151" s="105"/>
      <c r="BM151" s="105"/>
      <c r="BN151" s="105"/>
      <c r="BO151" s="105"/>
      <c r="BP151" s="105"/>
      <c r="BQ151" s="105"/>
      <c r="BR151" s="105"/>
      <c r="BS151" s="105"/>
      <c r="BT151" s="105"/>
      <c r="BU151" s="99"/>
      <c r="BV151" s="99"/>
      <c r="BW151" s="99"/>
      <c r="BX151" s="99"/>
      <c r="BY151" s="99"/>
      <c r="BZ151" s="99"/>
      <c r="CA151" s="99"/>
      <c r="CB151" s="99"/>
      <c r="CC151" s="99"/>
      <c r="CD151" s="99"/>
      <c r="CE151" s="99"/>
      <c r="CF151" s="99"/>
      <c r="CG151" s="99"/>
      <c r="CH151" s="504">
        <f t="shared" si="29"/>
        <v>0</v>
      </c>
      <c r="CI151" s="107"/>
      <c r="CJ151" s="102"/>
      <c r="CK151" s="102"/>
      <c r="CL151" s="102"/>
      <c r="CM151" s="102"/>
      <c r="CN151" s="102"/>
      <c r="CO151" s="102"/>
      <c r="CP151" s="108"/>
      <c r="CQ151" s="97"/>
    </row>
    <row r="152" spans="2:95" ht="39" customHeight="1" x14ac:dyDescent="0.3">
      <c r="B152" s="97"/>
      <c r="C152" s="98"/>
      <c r="D152" s="97"/>
      <c r="E152" s="99"/>
      <c r="F152" s="99"/>
      <c r="G152" s="97"/>
      <c r="H152" s="100" t="s">
        <v>377</v>
      </c>
      <c r="I152" s="101"/>
      <c r="J152" s="99"/>
      <c r="K152" s="102"/>
      <c r="L152" s="103"/>
      <c r="M152" s="103"/>
      <c r="N152" s="103"/>
      <c r="O152" s="103"/>
      <c r="P152" s="99" t="s">
        <v>377</v>
      </c>
      <c r="Q152" s="99" t="s">
        <v>377</v>
      </c>
      <c r="R152" s="99" t="s">
        <v>377</v>
      </c>
      <c r="S152" s="99" t="s">
        <v>377</v>
      </c>
      <c r="T152" s="99" t="s">
        <v>377</v>
      </c>
      <c r="U152" s="99" t="s">
        <v>377</v>
      </c>
      <c r="V152" s="99" t="s">
        <v>377</v>
      </c>
      <c r="W152" s="99" t="s">
        <v>377</v>
      </c>
      <c r="X152" s="99" t="s">
        <v>377</v>
      </c>
      <c r="Y152" s="99" t="s">
        <v>377</v>
      </c>
      <c r="Z152" s="99" t="s">
        <v>377</v>
      </c>
      <c r="AA152" s="99" t="s">
        <v>377</v>
      </c>
      <c r="AB152" s="99" t="s">
        <v>377</v>
      </c>
      <c r="AC152" s="99" t="s">
        <v>377</v>
      </c>
      <c r="AD152" s="104" t="s">
        <v>377</v>
      </c>
      <c r="AE152" s="103" t="s">
        <v>377</v>
      </c>
      <c r="AF152" s="103"/>
      <c r="AG152" s="105"/>
      <c r="AH152" s="105"/>
      <c r="AI152" s="105"/>
      <c r="AJ152" s="105"/>
      <c r="AK152" s="105"/>
      <c r="AL152" s="105"/>
      <c r="AM152" s="106"/>
      <c r="AN152" s="288"/>
      <c r="AO152" s="105"/>
      <c r="AP152" s="105"/>
      <c r="AQ152" s="105"/>
      <c r="AR152" s="124"/>
      <c r="AS152" s="124"/>
      <c r="AT152" s="124"/>
      <c r="AU152" s="124"/>
      <c r="AV152" s="124"/>
      <c r="AW152" s="105"/>
      <c r="AX152" s="105"/>
      <c r="AY152" s="105"/>
      <c r="AZ152" s="105"/>
      <c r="BA152" s="105"/>
      <c r="BB152" s="105"/>
      <c r="BC152" s="105"/>
      <c r="BD152" s="105"/>
      <c r="BE152" s="105"/>
      <c r="BF152" s="105"/>
      <c r="BG152" s="105"/>
      <c r="BH152" s="105"/>
      <c r="BI152" s="105"/>
      <c r="BJ152" s="105"/>
      <c r="BK152" s="105"/>
      <c r="BL152" s="105"/>
      <c r="BM152" s="105"/>
      <c r="BN152" s="105"/>
      <c r="BO152" s="105"/>
      <c r="BP152" s="105"/>
      <c r="BQ152" s="105"/>
      <c r="BR152" s="105"/>
      <c r="BS152" s="105"/>
      <c r="BT152" s="105"/>
      <c r="BU152" s="99"/>
      <c r="BV152" s="99"/>
      <c r="BW152" s="99"/>
      <c r="BX152" s="99"/>
      <c r="BY152" s="99"/>
      <c r="BZ152" s="99"/>
      <c r="CA152" s="99"/>
      <c r="CB152" s="99"/>
      <c r="CC152" s="99"/>
      <c r="CD152" s="99"/>
      <c r="CE152" s="99"/>
      <c r="CF152" s="99"/>
      <c r="CG152" s="99"/>
      <c r="CH152" s="504">
        <f t="shared" si="29"/>
        <v>0</v>
      </c>
      <c r="CI152" s="107"/>
      <c r="CJ152" s="102"/>
      <c r="CK152" s="102"/>
      <c r="CL152" s="102"/>
      <c r="CM152" s="102"/>
      <c r="CN152" s="102"/>
      <c r="CO152" s="102"/>
      <c r="CP152" s="108"/>
      <c r="CQ152" s="97"/>
    </row>
    <row r="153" spans="2:95" ht="39" customHeight="1" x14ac:dyDescent="0.3">
      <c r="B153" s="97"/>
      <c r="C153" s="98"/>
      <c r="D153" s="97"/>
      <c r="E153" s="99"/>
      <c r="F153" s="99"/>
      <c r="G153" s="97"/>
      <c r="H153" s="100" t="s">
        <v>377</v>
      </c>
      <c r="I153" s="101"/>
      <c r="J153" s="99"/>
      <c r="K153" s="102"/>
      <c r="L153" s="103"/>
      <c r="M153" s="103"/>
      <c r="N153" s="103"/>
      <c r="O153" s="103"/>
      <c r="P153" s="99" t="s">
        <v>377</v>
      </c>
      <c r="Q153" s="99" t="s">
        <v>377</v>
      </c>
      <c r="R153" s="99" t="s">
        <v>377</v>
      </c>
      <c r="S153" s="99" t="s">
        <v>377</v>
      </c>
      <c r="T153" s="99" t="s">
        <v>377</v>
      </c>
      <c r="U153" s="99" t="s">
        <v>377</v>
      </c>
      <c r="V153" s="99" t="s">
        <v>377</v>
      </c>
      <c r="W153" s="99" t="s">
        <v>377</v>
      </c>
      <c r="X153" s="99" t="s">
        <v>377</v>
      </c>
      <c r="Y153" s="99" t="s">
        <v>377</v>
      </c>
      <c r="Z153" s="99" t="s">
        <v>377</v>
      </c>
      <c r="AA153" s="99" t="s">
        <v>377</v>
      </c>
      <c r="AB153" s="99" t="s">
        <v>377</v>
      </c>
      <c r="AC153" s="99" t="s">
        <v>377</v>
      </c>
      <c r="AD153" s="104" t="s">
        <v>377</v>
      </c>
      <c r="AE153" s="103" t="s">
        <v>377</v>
      </c>
      <c r="AF153" s="103"/>
      <c r="AG153" s="105"/>
      <c r="AH153" s="105"/>
      <c r="AI153" s="105"/>
      <c r="AJ153" s="105"/>
      <c r="AK153" s="105"/>
      <c r="AL153" s="105"/>
      <c r="AM153" s="106"/>
      <c r="AN153" s="288"/>
      <c r="AO153" s="105"/>
      <c r="AP153" s="105"/>
      <c r="AQ153" s="105"/>
      <c r="AR153" s="124"/>
      <c r="AS153" s="124"/>
      <c r="AT153" s="124"/>
      <c r="AU153" s="124"/>
      <c r="AV153" s="124"/>
      <c r="AW153" s="105"/>
      <c r="AX153" s="105"/>
      <c r="AY153" s="105"/>
      <c r="AZ153" s="105"/>
      <c r="BA153" s="105"/>
      <c r="BB153" s="105"/>
      <c r="BC153" s="105"/>
      <c r="BD153" s="105"/>
      <c r="BE153" s="105"/>
      <c r="BF153" s="105"/>
      <c r="BG153" s="105"/>
      <c r="BH153" s="105"/>
      <c r="BI153" s="105"/>
      <c r="BJ153" s="105"/>
      <c r="BK153" s="105"/>
      <c r="BL153" s="105"/>
      <c r="BM153" s="105"/>
      <c r="BN153" s="105"/>
      <c r="BO153" s="105"/>
      <c r="BP153" s="105"/>
      <c r="BQ153" s="105"/>
      <c r="BR153" s="105"/>
      <c r="BS153" s="105"/>
      <c r="BT153" s="105"/>
      <c r="BU153" s="99"/>
      <c r="BV153" s="99"/>
      <c r="BW153" s="99"/>
      <c r="BX153" s="99"/>
      <c r="BY153" s="99"/>
      <c r="BZ153" s="99"/>
      <c r="CA153" s="99"/>
      <c r="CB153" s="99"/>
      <c r="CC153" s="99"/>
      <c r="CD153" s="99"/>
      <c r="CE153" s="99"/>
      <c r="CF153" s="99"/>
      <c r="CG153" s="99"/>
      <c r="CH153" s="504">
        <f t="shared" si="29"/>
        <v>0</v>
      </c>
      <c r="CI153" s="107"/>
      <c r="CJ153" s="102"/>
      <c r="CK153" s="102"/>
      <c r="CL153" s="102"/>
      <c r="CM153" s="102"/>
      <c r="CN153" s="102"/>
      <c r="CO153" s="102"/>
      <c r="CP153" s="108"/>
      <c r="CQ153" s="97"/>
    </row>
    <row r="154" spans="2:95" ht="39" customHeight="1" x14ac:dyDescent="0.3">
      <c r="B154" s="97"/>
      <c r="C154" s="98"/>
      <c r="D154" s="97"/>
      <c r="E154" s="99"/>
      <c r="F154" s="99"/>
      <c r="G154" s="97"/>
      <c r="H154" s="100" t="s">
        <v>377</v>
      </c>
      <c r="I154" s="101"/>
      <c r="J154" s="99"/>
      <c r="K154" s="102"/>
      <c r="L154" s="103"/>
      <c r="M154" s="103"/>
      <c r="N154" s="103"/>
      <c r="O154" s="103"/>
      <c r="P154" s="99" t="s">
        <v>377</v>
      </c>
      <c r="Q154" s="99" t="s">
        <v>377</v>
      </c>
      <c r="R154" s="99" t="s">
        <v>377</v>
      </c>
      <c r="S154" s="99" t="s">
        <v>377</v>
      </c>
      <c r="T154" s="99" t="s">
        <v>377</v>
      </c>
      <c r="U154" s="99" t="s">
        <v>377</v>
      </c>
      <c r="V154" s="99" t="s">
        <v>377</v>
      </c>
      <c r="W154" s="99" t="s">
        <v>377</v>
      </c>
      <c r="X154" s="99" t="s">
        <v>377</v>
      </c>
      <c r="Y154" s="99" t="s">
        <v>377</v>
      </c>
      <c r="Z154" s="99" t="s">
        <v>377</v>
      </c>
      <c r="AA154" s="99" t="s">
        <v>377</v>
      </c>
      <c r="AB154" s="99" t="s">
        <v>377</v>
      </c>
      <c r="AC154" s="99" t="s">
        <v>377</v>
      </c>
      <c r="AD154" s="104" t="s">
        <v>377</v>
      </c>
      <c r="AE154" s="103" t="s">
        <v>377</v>
      </c>
      <c r="AF154" s="103"/>
      <c r="AG154" s="105"/>
      <c r="AH154" s="105"/>
      <c r="AI154" s="105"/>
      <c r="AJ154" s="105"/>
      <c r="AK154" s="105"/>
      <c r="AL154" s="105"/>
      <c r="AM154" s="106"/>
      <c r="AN154" s="288"/>
      <c r="AO154" s="105"/>
      <c r="AP154" s="105"/>
      <c r="AQ154" s="105"/>
      <c r="AR154" s="124"/>
      <c r="AS154" s="124"/>
      <c r="AT154" s="124"/>
      <c r="AU154" s="124"/>
      <c r="AV154" s="124"/>
      <c r="AW154" s="105"/>
      <c r="AX154" s="105"/>
      <c r="AY154" s="105"/>
      <c r="AZ154" s="105"/>
      <c r="BA154" s="105"/>
      <c r="BB154" s="105"/>
      <c r="BC154" s="105"/>
      <c r="BD154" s="105"/>
      <c r="BE154" s="105"/>
      <c r="BF154" s="105"/>
      <c r="BG154" s="105"/>
      <c r="BH154" s="105"/>
      <c r="BI154" s="105"/>
      <c r="BJ154" s="105"/>
      <c r="BK154" s="105"/>
      <c r="BL154" s="105"/>
      <c r="BM154" s="105"/>
      <c r="BN154" s="105"/>
      <c r="BO154" s="105"/>
      <c r="BP154" s="105"/>
      <c r="BQ154" s="105"/>
      <c r="BR154" s="105"/>
      <c r="BS154" s="105"/>
      <c r="BT154" s="105"/>
      <c r="BU154" s="99"/>
      <c r="BV154" s="99"/>
      <c r="BW154" s="99"/>
      <c r="BX154" s="99"/>
      <c r="BY154" s="99"/>
      <c r="BZ154" s="99"/>
      <c r="CA154" s="99"/>
      <c r="CB154" s="99"/>
      <c r="CC154" s="99"/>
      <c r="CD154" s="99"/>
      <c r="CE154" s="99"/>
      <c r="CF154" s="99"/>
      <c r="CG154" s="99"/>
      <c r="CH154" s="504">
        <f t="shared" si="29"/>
        <v>0</v>
      </c>
      <c r="CI154" s="107"/>
      <c r="CJ154" s="102"/>
      <c r="CK154" s="102"/>
      <c r="CL154" s="102"/>
      <c r="CM154" s="102"/>
      <c r="CN154" s="102"/>
      <c r="CO154" s="102"/>
      <c r="CP154" s="108"/>
      <c r="CQ154" s="97"/>
    </row>
    <row r="155" spans="2:95" ht="39" customHeight="1" x14ac:dyDescent="0.3">
      <c r="B155" s="97"/>
      <c r="C155" s="98"/>
      <c r="D155" s="97"/>
      <c r="E155" s="99"/>
      <c r="F155" s="99"/>
      <c r="G155" s="97"/>
      <c r="H155" s="100" t="s">
        <v>377</v>
      </c>
      <c r="I155" s="101"/>
      <c r="J155" s="99"/>
      <c r="K155" s="102"/>
      <c r="L155" s="103"/>
      <c r="M155" s="103"/>
      <c r="N155" s="103"/>
      <c r="O155" s="103"/>
      <c r="P155" s="99" t="s">
        <v>377</v>
      </c>
      <c r="Q155" s="99" t="s">
        <v>377</v>
      </c>
      <c r="R155" s="99" t="s">
        <v>377</v>
      </c>
      <c r="S155" s="99" t="s">
        <v>377</v>
      </c>
      <c r="T155" s="99" t="s">
        <v>377</v>
      </c>
      <c r="U155" s="99" t="s">
        <v>377</v>
      </c>
      <c r="V155" s="99" t="s">
        <v>377</v>
      </c>
      <c r="W155" s="99" t="s">
        <v>377</v>
      </c>
      <c r="X155" s="99" t="s">
        <v>377</v>
      </c>
      <c r="Y155" s="99" t="s">
        <v>377</v>
      </c>
      <c r="Z155" s="99" t="s">
        <v>377</v>
      </c>
      <c r="AA155" s="99" t="s">
        <v>377</v>
      </c>
      <c r="AB155" s="99" t="s">
        <v>377</v>
      </c>
      <c r="AC155" s="99" t="s">
        <v>377</v>
      </c>
      <c r="AD155" s="104" t="s">
        <v>377</v>
      </c>
      <c r="AE155" s="103" t="s">
        <v>377</v>
      </c>
      <c r="AF155" s="103"/>
      <c r="AG155" s="105"/>
      <c r="AH155" s="105"/>
      <c r="AI155" s="105"/>
      <c r="AJ155" s="105"/>
      <c r="AK155" s="105"/>
      <c r="AL155" s="105"/>
      <c r="AM155" s="106"/>
      <c r="AN155" s="288"/>
      <c r="AO155" s="105"/>
      <c r="AP155" s="105"/>
      <c r="AQ155" s="105"/>
      <c r="AR155" s="124"/>
      <c r="AS155" s="124"/>
      <c r="AT155" s="124"/>
      <c r="AU155" s="124"/>
      <c r="AV155" s="124"/>
      <c r="AW155" s="105"/>
      <c r="AX155" s="105"/>
      <c r="AY155" s="105"/>
      <c r="AZ155" s="105"/>
      <c r="BA155" s="105"/>
      <c r="BB155" s="105"/>
      <c r="BC155" s="105"/>
      <c r="BD155" s="105"/>
      <c r="BE155" s="105"/>
      <c r="BF155" s="105"/>
      <c r="BG155" s="105"/>
      <c r="BH155" s="105"/>
      <c r="BI155" s="105"/>
      <c r="BJ155" s="105"/>
      <c r="BK155" s="105"/>
      <c r="BL155" s="105"/>
      <c r="BM155" s="105"/>
      <c r="BN155" s="105"/>
      <c r="BO155" s="105"/>
      <c r="BP155" s="105"/>
      <c r="BQ155" s="105"/>
      <c r="BR155" s="105"/>
      <c r="BS155" s="105"/>
      <c r="BT155" s="105"/>
      <c r="BU155" s="99"/>
      <c r="BV155" s="99"/>
      <c r="BW155" s="99"/>
      <c r="BX155" s="99"/>
      <c r="BY155" s="99"/>
      <c r="BZ155" s="99"/>
      <c r="CA155" s="99"/>
      <c r="CB155" s="99"/>
      <c r="CC155" s="99"/>
      <c r="CD155" s="99"/>
      <c r="CE155" s="99"/>
      <c r="CF155" s="99"/>
      <c r="CG155" s="99"/>
      <c r="CH155" s="504">
        <f t="shared" si="29"/>
        <v>0</v>
      </c>
      <c r="CI155" s="107"/>
      <c r="CJ155" s="102"/>
      <c r="CK155" s="102"/>
      <c r="CL155" s="102"/>
      <c r="CM155" s="102"/>
      <c r="CN155" s="102"/>
      <c r="CO155" s="102"/>
      <c r="CP155" s="108"/>
      <c r="CQ155" s="97"/>
    </row>
    <row r="156" spans="2:95" ht="39" customHeight="1" x14ac:dyDescent="0.3">
      <c r="B156" s="97"/>
      <c r="C156" s="98"/>
      <c r="D156" s="97"/>
      <c r="E156" s="99"/>
      <c r="F156" s="99"/>
      <c r="G156" s="97"/>
      <c r="H156" s="100" t="s">
        <v>377</v>
      </c>
      <c r="I156" s="101"/>
      <c r="J156" s="99"/>
      <c r="K156" s="102"/>
      <c r="L156" s="103"/>
      <c r="M156" s="103"/>
      <c r="N156" s="103"/>
      <c r="O156" s="103"/>
      <c r="P156" s="99" t="s">
        <v>377</v>
      </c>
      <c r="Q156" s="99" t="s">
        <v>377</v>
      </c>
      <c r="R156" s="99" t="s">
        <v>377</v>
      </c>
      <c r="S156" s="99" t="s">
        <v>377</v>
      </c>
      <c r="T156" s="99" t="s">
        <v>377</v>
      </c>
      <c r="U156" s="99" t="s">
        <v>377</v>
      </c>
      <c r="V156" s="99" t="s">
        <v>377</v>
      </c>
      <c r="W156" s="99" t="s">
        <v>377</v>
      </c>
      <c r="X156" s="99" t="s">
        <v>377</v>
      </c>
      <c r="Y156" s="99" t="s">
        <v>377</v>
      </c>
      <c r="Z156" s="99" t="s">
        <v>377</v>
      </c>
      <c r="AA156" s="99" t="s">
        <v>377</v>
      </c>
      <c r="AB156" s="99" t="s">
        <v>377</v>
      </c>
      <c r="AC156" s="99" t="s">
        <v>377</v>
      </c>
      <c r="AD156" s="104" t="s">
        <v>377</v>
      </c>
      <c r="AE156" s="103" t="s">
        <v>377</v>
      </c>
      <c r="AF156" s="103"/>
      <c r="AG156" s="105"/>
      <c r="AH156" s="105"/>
      <c r="AI156" s="105"/>
      <c r="AJ156" s="105"/>
      <c r="AK156" s="105"/>
      <c r="AL156" s="105"/>
      <c r="AM156" s="106"/>
      <c r="AN156" s="288"/>
      <c r="AO156" s="105"/>
      <c r="AP156" s="105"/>
      <c r="AQ156" s="105"/>
      <c r="AR156" s="124"/>
      <c r="AS156" s="124"/>
      <c r="AT156" s="124"/>
      <c r="AU156" s="124"/>
      <c r="AV156" s="124"/>
      <c r="AW156" s="105"/>
      <c r="AX156" s="105"/>
      <c r="AY156" s="105"/>
      <c r="AZ156" s="105"/>
      <c r="BA156" s="105"/>
      <c r="BB156" s="105"/>
      <c r="BC156" s="105"/>
      <c r="BD156" s="105"/>
      <c r="BE156" s="105"/>
      <c r="BF156" s="105"/>
      <c r="BG156" s="105"/>
      <c r="BH156" s="105"/>
      <c r="BI156" s="105"/>
      <c r="BJ156" s="105"/>
      <c r="BK156" s="105"/>
      <c r="BL156" s="105"/>
      <c r="BM156" s="105"/>
      <c r="BN156" s="105"/>
      <c r="BO156" s="105"/>
      <c r="BP156" s="105"/>
      <c r="BQ156" s="105"/>
      <c r="BR156" s="105"/>
      <c r="BS156" s="105"/>
      <c r="BT156" s="105"/>
      <c r="BU156" s="99"/>
      <c r="BV156" s="99"/>
      <c r="BW156" s="99"/>
      <c r="BX156" s="99"/>
      <c r="BY156" s="99"/>
      <c r="BZ156" s="99"/>
      <c r="CA156" s="99"/>
      <c r="CB156" s="99"/>
      <c r="CC156" s="99"/>
      <c r="CD156" s="99"/>
      <c r="CE156" s="99"/>
      <c r="CF156" s="99"/>
      <c r="CG156" s="99"/>
      <c r="CH156" s="504">
        <f t="shared" si="29"/>
        <v>0</v>
      </c>
      <c r="CI156" s="107"/>
      <c r="CJ156" s="102"/>
      <c r="CK156" s="102"/>
      <c r="CL156" s="102"/>
      <c r="CM156" s="102"/>
      <c r="CN156" s="102"/>
      <c r="CO156" s="102"/>
      <c r="CP156" s="108"/>
      <c r="CQ156" s="97"/>
    </row>
    <row r="157" spans="2:95" ht="39" customHeight="1" x14ac:dyDescent="0.3">
      <c r="B157" s="97"/>
      <c r="C157" s="98"/>
      <c r="D157" s="97"/>
      <c r="E157" s="99"/>
      <c r="F157" s="99"/>
      <c r="G157" s="97"/>
      <c r="H157" s="100" t="s">
        <v>377</v>
      </c>
      <c r="I157" s="101"/>
      <c r="J157" s="99"/>
      <c r="K157" s="102"/>
      <c r="L157" s="103"/>
      <c r="M157" s="103"/>
      <c r="N157" s="103"/>
      <c r="O157" s="103"/>
      <c r="P157" s="99" t="s">
        <v>377</v>
      </c>
      <c r="Q157" s="99" t="s">
        <v>377</v>
      </c>
      <c r="R157" s="99" t="s">
        <v>377</v>
      </c>
      <c r="S157" s="99" t="s">
        <v>377</v>
      </c>
      <c r="T157" s="99" t="s">
        <v>377</v>
      </c>
      <c r="U157" s="99" t="s">
        <v>377</v>
      </c>
      <c r="V157" s="99" t="s">
        <v>377</v>
      </c>
      <c r="W157" s="99" t="s">
        <v>377</v>
      </c>
      <c r="X157" s="99" t="s">
        <v>377</v>
      </c>
      <c r="Y157" s="99" t="s">
        <v>377</v>
      </c>
      <c r="Z157" s="99" t="s">
        <v>377</v>
      </c>
      <c r="AA157" s="99" t="s">
        <v>377</v>
      </c>
      <c r="AB157" s="99" t="s">
        <v>377</v>
      </c>
      <c r="AC157" s="99" t="s">
        <v>377</v>
      </c>
      <c r="AD157" s="104" t="s">
        <v>377</v>
      </c>
      <c r="AE157" s="103" t="s">
        <v>377</v>
      </c>
      <c r="AF157" s="103"/>
      <c r="AG157" s="105"/>
      <c r="AH157" s="105"/>
      <c r="AI157" s="105"/>
      <c r="AJ157" s="105"/>
      <c r="AK157" s="105"/>
      <c r="AL157" s="105"/>
      <c r="AM157" s="106"/>
      <c r="AN157" s="288"/>
      <c r="AO157" s="105"/>
      <c r="AP157" s="105"/>
      <c r="AQ157" s="105"/>
      <c r="AR157" s="124"/>
      <c r="AS157" s="124"/>
      <c r="AT157" s="124"/>
      <c r="AU157" s="124"/>
      <c r="AV157" s="124"/>
      <c r="AW157" s="105"/>
      <c r="AX157" s="105"/>
      <c r="AY157" s="105"/>
      <c r="AZ157" s="105"/>
      <c r="BA157" s="105"/>
      <c r="BB157" s="105"/>
      <c r="BC157" s="105"/>
      <c r="BD157" s="105"/>
      <c r="BE157" s="105"/>
      <c r="BF157" s="105"/>
      <c r="BG157" s="105"/>
      <c r="BH157" s="105"/>
      <c r="BI157" s="105"/>
      <c r="BJ157" s="105"/>
      <c r="BK157" s="105"/>
      <c r="BL157" s="105"/>
      <c r="BM157" s="105"/>
      <c r="BN157" s="105"/>
      <c r="BO157" s="105"/>
      <c r="BP157" s="105"/>
      <c r="BQ157" s="105"/>
      <c r="BR157" s="105"/>
      <c r="BS157" s="105"/>
      <c r="BT157" s="105"/>
      <c r="BU157" s="99"/>
      <c r="BV157" s="99"/>
      <c r="BW157" s="99"/>
      <c r="BX157" s="99"/>
      <c r="BY157" s="99"/>
      <c r="BZ157" s="99"/>
      <c r="CA157" s="99"/>
      <c r="CB157" s="99"/>
      <c r="CC157" s="99"/>
      <c r="CD157" s="99"/>
      <c r="CE157" s="99"/>
      <c r="CF157" s="99"/>
      <c r="CG157" s="99"/>
      <c r="CH157" s="504">
        <f t="shared" si="29"/>
        <v>0</v>
      </c>
      <c r="CI157" s="107"/>
      <c r="CJ157" s="102"/>
      <c r="CK157" s="102"/>
      <c r="CL157" s="102"/>
      <c r="CM157" s="102"/>
      <c r="CN157" s="102"/>
      <c r="CO157" s="102"/>
      <c r="CP157" s="108"/>
      <c r="CQ157" s="97"/>
    </row>
    <row r="158" spans="2:95" ht="39" customHeight="1" x14ac:dyDescent="0.3">
      <c r="B158" s="97"/>
      <c r="C158" s="98"/>
      <c r="D158" s="97"/>
      <c r="E158" s="99"/>
      <c r="F158" s="99"/>
      <c r="G158" s="97"/>
      <c r="H158" s="100" t="s">
        <v>377</v>
      </c>
      <c r="I158" s="101"/>
      <c r="J158" s="99"/>
      <c r="K158" s="102"/>
      <c r="L158" s="103"/>
      <c r="M158" s="103"/>
      <c r="N158" s="103"/>
      <c r="O158" s="103"/>
      <c r="P158" s="99" t="s">
        <v>377</v>
      </c>
      <c r="Q158" s="99" t="s">
        <v>377</v>
      </c>
      <c r="R158" s="99" t="s">
        <v>377</v>
      </c>
      <c r="S158" s="99" t="s">
        <v>377</v>
      </c>
      <c r="T158" s="99" t="s">
        <v>377</v>
      </c>
      <c r="U158" s="99" t="s">
        <v>377</v>
      </c>
      <c r="V158" s="99" t="s">
        <v>377</v>
      </c>
      <c r="W158" s="99" t="s">
        <v>377</v>
      </c>
      <c r="X158" s="99" t="s">
        <v>377</v>
      </c>
      <c r="Y158" s="99" t="s">
        <v>377</v>
      </c>
      <c r="Z158" s="99" t="s">
        <v>377</v>
      </c>
      <c r="AA158" s="99" t="s">
        <v>377</v>
      </c>
      <c r="AB158" s="99" t="s">
        <v>377</v>
      </c>
      <c r="AC158" s="99" t="s">
        <v>377</v>
      </c>
      <c r="AD158" s="104" t="s">
        <v>377</v>
      </c>
      <c r="AE158" s="103" t="s">
        <v>377</v>
      </c>
      <c r="AF158" s="103"/>
      <c r="AG158" s="105"/>
      <c r="AH158" s="105"/>
      <c r="AI158" s="105"/>
      <c r="AJ158" s="105"/>
      <c r="AK158" s="105"/>
      <c r="AL158" s="105"/>
      <c r="AM158" s="106"/>
      <c r="AN158" s="288"/>
      <c r="AO158" s="105"/>
      <c r="AP158" s="105"/>
      <c r="AQ158" s="105"/>
      <c r="AR158" s="124"/>
      <c r="AS158" s="124"/>
      <c r="AT158" s="124"/>
      <c r="AU158" s="124"/>
      <c r="AV158" s="124"/>
      <c r="AW158" s="105"/>
      <c r="AX158" s="105"/>
      <c r="AY158" s="105"/>
      <c r="AZ158" s="105"/>
      <c r="BA158" s="105"/>
      <c r="BB158" s="105"/>
      <c r="BC158" s="105"/>
      <c r="BD158" s="105"/>
      <c r="BE158" s="105"/>
      <c r="BF158" s="105"/>
      <c r="BG158" s="105"/>
      <c r="BH158" s="105"/>
      <c r="BI158" s="105"/>
      <c r="BJ158" s="105"/>
      <c r="BK158" s="105"/>
      <c r="BL158" s="105"/>
      <c r="BM158" s="105"/>
      <c r="BN158" s="105"/>
      <c r="BO158" s="105"/>
      <c r="BP158" s="105"/>
      <c r="BQ158" s="105"/>
      <c r="BR158" s="105"/>
      <c r="BS158" s="105"/>
      <c r="BT158" s="105"/>
      <c r="BU158" s="99"/>
      <c r="BV158" s="99"/>
      <c r="BW158" s="99"/>
      <c r="BX158" s="99"/>
      <c r="BY158" s="99"/>
      <c r="BZ158" s="99"/>
      <c r="CA158" s="99"/>
      <c r="CB158" s="99"/>
      <c r="CC158" s="99"/>
      <c r="CD158" s="99"/>
      <c r="CE158" s="99"/>
      <c r="CF158" s="99"/>
      <c r="CG158" s="99"/>
      <c r="CH158" s="504">
        <f t="shared" si="29"/>
        <v>0</v>
      </c>
      <c r="CI158" s="107"/>
      <c r="CJ158" s="102"/>
      <c r="CK158" s="102"/>
      <c r="CL158" s="102"/>
      <c r="CM158" s="102"/>
      <c r="CN158" s="102"/>
      <c r="CO158" s="102"/>
      <c r="CP158" s="108"/>
      <c r="CQ158" s="97"/>
    </row>
    <row r="159" spans="2:95" ht="39" customHeight="1" x14ac:dyDescent="0.3">
      <c r="B159" s="97"/>
      <c r="C159" s="98"/>
      <c r="D159" s="97"/>
      <c r="E159" s="99"/>
      <c r="F159" s="99"/>
      <c r="G159" s="97"/>
      <c r="H159" s="100" t="s">
        <v>377</v>
      </c>
      <c r="I159" s="101"/>
      <c r="J159" s="99"/>
      <c r="K159" s="102"/>
      <c r="L159" s="103"/>
      <c r="M159" s="103"/>
      <c r="N159" s="103"/>
      <c r="O159" s="103"/>
      <c r="P159" s="99" t="s">
        <v>377</v>
      </c>
      <c r="Q159" s="99" t="s">
        <v>377</v>
      </c>
      <c r="R159" s="99" t="s">
        <v>377</v>
      </c>
      <c r="S159" s="99" t="s">
        <v>377</v>
      </c>
      <c r="T159" s="99" t="s">
        <v>377</v>
      </c>
      <c r="U159" s="99" t="s">
        <v>377</v>
      </c>
      <c r="V159" s="99" t="s">
        <v>377</v>
      </c>
      <c r="W159" s="99" t="s">
        <v>377</v>
      </c>
      <c r="X159" s="99" t="s">
        <v>377</v>
      </c>
      <c r="Y159" s="99" t="s">
        <v>377</v>
      </c>
      <c r="Z159" s="99" t="s">
        <v>377</v>
      </c>
      <c r="AA159" s="99" t="s">
        <v>377</v>
      </c>
      <c r="AB159" s="99" t="s">
        <v>377</v>
      </c>
      <c r="AC159" s="99" t="s">
        <v>377</v>
      </c>
      <c r="AD159" s="104" t="s">
        <v>377</v>
      </c>
      <c r="AE159" s="103" t="s">
        <v>377</v>
      </c>
      <c r="AF159" s="103"/>
      <c r="AG159" s="105"/>
      <c r="AH159" s="105"/>
      <c r="AI159" s="105"/>
      <c r="AJ159" s="105"/>
      <c r="AK159" s="105"/>
      <c r="AL159" s="105"/>
      <c r="AM159" s="106"/>
      <c r="AN159" s="288"/>
      <c r="AO159" s="105"/>
      <c r="AP159" s="105"/>
      <c r="AQ159" s="105"/>
      <c r="AR159" s="124"/>
      <c r="AS159" s="124"/>
      <c r="AT159" s="124"/>
      <c r="AU159" s="124"/>
      <c r="AV159" s="124"/>
      <c r="AW159" s="105"/>
      <c r="AX159" s="105"/>
      <c r="AY159" s="105"/>
      <c r="AZ159" s="105"/>
      <c r="BA159" s="105"/>
      <c r="BB159" s="105"/>
      <c r="BC159" s="105"/>
      <c r="BD159" s="105"/>
      <c r="BE159" s="105"/>
      <c r="BF159" s="105"/>
      <c r="BG159" s="105"/>
      <c r="BH159" s="105"/>
      <c r="BI159" s="105"/>
      <c r="BJ159" s="105"/>
      <c r="BK159" s="105"/>
      <c r="BL159" s="105"/>
      <c r="BM159" s="105"/>
      <c r="BN159" s="105"/>
      <c r="BO159" s="105"/>
      <c r="BP159" s="105"/>
      <c r="BQ159" s="105"/>
      <c r="BR159" s="105"/>
      <c r="BS159" s="105"/>
      <c r="BT159" s="105"/>
      <c r="BU159" s="99"/>
      <c r="BV159" s="99"/>
      <c r="BW159" s="99"/>
      <c r="BX159" s="99"/>
      <c r="BY159" s="99"/>
      <c r="BZ159" s="99"/>
      <c r="CA159" s="99"/>
      <c r="CB159" s="99"/>
      <c r="CC159" s="99"/>
      <c r="CD159" s="99"/>
      <c r="CE159" s="99"/>
      <c r="CF159" s="99"/>
      <c r="CG159" s="99"/>
      <c r="CH159" s="504">
        <f t="shared" si="29"/>
        <v>0</v>
      </c>
      <c r="CI159" s="107"/>
      <c r="CJ159" s="102"/>
      <c r="CK159" s="102"/>
      <c r="CL159" s="102"/>
      <c r="CM159" s="102"/>
      <c r="CN159" s="102"/>
      <c r="CO159" s="102"/>
      <c r="CP159" s="108"/>
      <c r="CQ159" s="97"/>
    </row>
    <row r="160" spans="2:95" ht="39" customHeight="1" x14ac:dyDescent="0.3">
      <c r="B160" s="97"/>
      <c r="C160" s="98"/>
      <c r="D160" s="97"/>
      <c r="E160" s="99"/>
      <c r="F160" s="99"/>
      <c r="G160" s="97"/>
      <c r="H160" s="100" t="s">
        <v>377</v>
      </c>
      <c r="I160" s="101"/>
      <c r="J160" s="99"/>
      <c r="K160" s="102"/>
      <c r="L160" s="103"/>
      <c r="M160" s="103"/>
      <c r="N160" s="103"/>
      <c r="O160" s="103"/>
      <c r="P160" s="99" t="s">
        <v>377</v>
      </c>
      <c r="Q160" s="99" t="s">
        <v>377</v>
      </c>
      <c r="R160" s="99" t="s">
        <v>377</v>
      </c>
      <c r="S160" s="99" t="s">
        <v>377</v>
      </c>
      <c r="T160" s="99" t="s">
        <v>377</v>
      </c>
      <c r="U160" s="99" t="s">
        <v>377</v>
      </c>
      <c r="V160" s="99" t="s">
        <v>377</v>
      </c>
      <c r="W160" s="99" t="s">
        <v>377</v>
      </c>
      <c r="X160" s="99" t="s">
        <v>377</v>
      </c>
      <c r="Y160" s="99" t="s">
        <v>377</v>
      </c>
      <c r="Z160" s="99" t="s">
        <v>377</v>
      </c>
      <c r="AA160" s="99" t="s">
        <v>377</v>
      </c>
      <c r="AB160" s="99" t="s">
        <v>377</v>
      </c>
      <c r="AC160" s="99" t="s">
        <v>377</v>
      </c>
      <c r="AD160" s="104" t="s">
        <v>377</v>
      </c>
      <c r="AE160" s="103" t="s">
        <v>377</v>
      </c>
      <c r="AF160" s="103"/>
      <c r="AG160" s="105"/>
      <c r="AH160" s="105"/>
      <c r="AI160" s="105"/>
      <c r="AJ160" s="105"/>
      <c r="AK160" s="105"/>
      <c r="AL160" s="105"/>
      <c r="AM160" s="106"/>
      <c r="AN160" s="288"/>
      <c r="AO160" s="105"/>
      <c r="AP160" s="105"/>
      <c r="AQ160" s="105"/>
      <c r="AR160" s="124"/>
      <c r="AS160" s="124"/>
      <c r="AT160" s="124"/>
      <c r="AU160" s="124"/>
      <c r="AV160" s="124"/>
      <c r="AW160" s="105"/>
      <c r="AX160" s="105"/>
      <c r="AY160" s="105"/>
      <c r="AZ160" s="105"/>
      <c r="BA160" s="105"/>
      <c r="BB160" s="105"/>
      <c r="BC160" s="105"/>
      <c r="BD160" s="105"/>
      <c r="BE160" s="105"/>
      <c r="BF160" s="105"/>
      <c r="BG160" s="105"/>
      <c r="BH160" s="105"/>
      <c r="BI160" s="105"/>
      <c r="BJ160" s="105"/>
      <c r="BK160" s="105"/>
      <c r="BL160" s="105"/>
      <c r="BM160" s="105"/>
      <c r="BN160" s="105"/>
      <c r="BO160" s="105"/>
      <c r="BP160" s="105"/>
      <c r="BQ160" s="105"/>
      <c r="BR160" s="105"/>
      <c r="BS160" s="105"/>
      <c r="BT160" s="105"/>
      <c r="BU160" s="99"/>
      <c r="BV160" s="99"/>
      <c r="BW160" s="99"/>
      <c r="BX160" s="99"/>
      <c r="BY160" s="99"/>
      <c r="BZ160" s="99"/>
      <c r="CA160" s="99"/>
      <c r="CB160" s="99"/>
      <c r="CC160" s="99"/>
      <c r="CD160" s="99"/>
      <c r="CE160" s="99"/>
      <c r="CF160" s="99"/>
      <c r="CG160" s="99"/>
      <c r="CH160" s="504">
        <f t="shared" si="29"/>
        <v>0</v>
      </c>
      <c r="CI160" s="107"/>
      <c r="CJ160" s="102"/>
      <c r="CK160" s="102"/>
      <c r="CL160" s="102"/>
      <c r="CM160" s="102"/>
      <c r="CN160" s="102"/>
      <c r="CO160" s="102"/>
      <c r="CP160" s="108"/>
      <c r="CQ160" s="97"/>
    </row>
    <row r="161" spans="3:120" s="91" customFormat="1" ht="39" customHeight="1" x14ac:dyDescent="0.3">
      <c r="C161" s="109"/>
      <c r="H161" s="91" t="s">
        <v>377</v>
      </c>
      <c r="K161" s="109"/>
      <c r="L161" s="77"/>
      <c r="M161" s="77"/>
      <c r="N161" s="77"/>
      <c r="O161" s="77"/>
      <c r="P161" s="91" t="s">
        <v>377</v>
      </c>
      <c r="Q161" s="91" t="s">
        <v>377</v>
      </c>
      <c r="R161" s="91" t="s">
        <v>377</v>
      </c>
      <c r="S161" s="91" t="s">
        <v>377</v>
      </c>
      <c r="T161" s="78" t="s">
        <v>377</v>
      </c>
      <c r="U161" s="91" t="s">
        <v>377</v>
      </c>
      <c r="V161" s="91" t="s">
        <v>377</v>
      </c>
      <c r="W161" s="91" t="s">
        <v>377</v>
      </c>
      <c r="X161" s="91" t="s">
        <v>377</v>
      </c>
      <c r="Y161" s="91" t="s">
        <v>377</v>
      </c>
      <c r="Z161" s="91" t="s">
        <v>377</v>
      </c>
      <c r="AA161" s="91" t="s">
        <v>377</v>
      </c>
      <c r="AB161" s="91" t="s">
        <v>377</v>
      </c>
      <c r="AC161" s="78" t="s">
        <v>377</v>
      </c>
      <c r="AD161" s="78" t="s">
        <v>377</v>
      </c>
      <c r="AE161" s="78" t="s">
        <v>377</v>
      </c>
      <c r="AF161" s="77"/>
      <c r="AG161" s="110"/>
      <c r="AH161" s="110"/>
      <c r="AI161" s="110"/>
      <c r="AJ161" s="110"/>
      <c r="AK161" s="110"/>
      <c r="AL161" s="110"/>
      <c r="AM161" s="110"/>
      <c r="AN161" s="110"/>
      <c r="AO161" s="110"/>
      <c r="AP161" s="110"/>
      <c r="AQ161" s="110"/>
      <c r="AR161" s="121"/>
      <c r="AS161" s="121"/>
      <c r="AT161" s="121"/>
      <c r="AU161" s="121"/>
      <c r="AV161" s="121"/>
      <c r="AW161" s="110"/>
      <c r="AX161" s="110"/>
      <c r="AY161" s="110"/>
      <c r="AZ161" s="110"/>
      <c r="BA161" s="110"/>
      <c r="BB161" s="110"/>
      <c r="BC161" s="110"/>
      <c r="BD161" s="110"/>
      <c r="BE161" s="110"/>
      <c r="BF161" s="110"/>
      <c r="BG161" s="110"/>
      <c r="BH161" s="110"/>
      <c r="BI161" s="110"/>
      <c r="BJ161" s="110"/>
      <c r="BK161" s="110"/>
      <c r="BL161" s="110"/>
      <c r="BM161" s="110"/>
      <c r="BN161" s="110"/>
      <c r="BO161" s="110"/>
      <c r="BP161" s="110"/>
      <c r="BQ161" s="110"/>
      <c r="BR161" s="110"/>
      <c r="BS161" s="110"/>
      <c r="BT161" s="110"/>
      <c r="BU161" s="111"/>
      <c r="BV161" s="111"/>
      <c r="BW161" s="111"/>
      <c r="BX161" s="111"/>
      <c r="BY161" s="111"/>
      <c r="BZ161" s="111"/>
      <c r="CA161" s="111"/>
      <c r="CB161" s="111"/>
      <c r="CC161" s="111"/>
      <c r="CD161" s="111"/>
      <c r="CE161" s="111"/>
      <c r="CF161" s="111"/>
      <c r="CH161" s="504">
        <f t="shared" si="29"/>
        <v>0</v>
      </c>
      <c r="CP161" s="77"/>
      <c r="CQ161" s="97"/>
      <c r="DE161" s="247"/>
      <c r="DF161" s="247"/>
      <c r="DG161" s="247"/>
      <c r="DH161" s="247"/>
      <c r="DI161" s="247"/>
      <c r="DJ161" s="247"/>
      <c r="DK161" s="247"/>
      <c r="DL161" s="247"/>
      <c r="DM161" s="247"/>
      <c r="DN161" s="247"/>
      <c r="DO161" s="247"/>
      <c r="DP161" s="247"/>
    </row>
    <row r="162" spans="3:120" s="91" customFormat="1" ht="39" customHeight="1" x14ac:dyDescent="0.3">
      <c r="C162" s="109"/>
      <c r="H162" s="91" t="s">
        <v>377</v>
      </c>
      <c r="K162" s="109"/>
      <c r="L162" s="77"/>
      <c r="M162" s="77"/>
      <c r="N162" s="77"/>
      <c r="O162" s="77"/>
      <c r="P162" s="91" t="s">
        <v>377</v>
      </c>
      <c r="Q162" s="91" t="s">
        <v>377</v>
      </c>
      <c r="R162" s="91" t="s">
        <v>377</v>
      </c>
      <c r="S162" s="91" t="s">
        <v>377</v>
      </c>
      <c r="T162" s="78" t="s">
        <v>377</v>
      </c>
      <c r="U162" s="91" t="s">
        <v>377</v>
      </c>
      <c r="V162" s="91" t="s">
        <v>377</v>
      </c>
      <c r="W162" s="91" t="s">
        <v>377</v>
      </c>
      <c r="X162" s="91" t="s">
        <v>377</v>
      </c>
      <c r="Y162" s="91" t="s">
        <v>377</v>
      </c>
      <c r="Z162" s="91" t="s">
        <v>377</v>
      </c>
      <c r="AA162" s="91" t="s">
        <v>377</v>
      </c>
      <c r="AB162" s="91" t="s">
        <v>377</v>
      </c>
      <c r="AC162" s="78" t="s">
        <v>377</v>
      </c>
      <c r="AD162" s="78" t="s">
        <v>377</v>
      </c>
      <c r="AE162" s="78" t="s">
        <v>377</v>
      </c>
      <c r="AF162" s="77"/>
      <c r="AG162" s="110"/>
      <c r="AH162" s="110"/>
      <c r="AI162" s="110"/>
      <c r="AJ162" s="110"/>
      <c r="AK162" s="110"/>
      <c r="AL162" s="110"/>
      <c r="AM162" s="110"/>
      <c r="AN162" s="110"/>
      <c r="AO162" s="110"/>
      <c r="AP162" s="110"/>
      <c r="AQ162" s="110"/>
      <c r="AR162" s="121"/>
      <c r="AS162" s="121"/>
      <c r="AT162" s="121"/>
      <c r="AU162" s="121"/>
      <c r="AV162" s="121"/>
      <c r="AW162" s="110"/>
      <c r="AX162" s="110"/>
      <c r="AY162" s="110"/>
      <c r="AZ162" s="110"/>
      <c r="BA162" s="110"/>
      <c r="BB162" s="110"/>
      <c r="BC162" s="110"/>
      <c r="BD162" s="110"/>
      <c r="BE162" s="110"/>
      <c r="BF162" s="110"/>
      <c r="BG162" s="110"/>
      <c r="BH162" s="110"/>
      <c r="BI162" s="110"/>
      <c r="BJ162" s="110"/>
      <c r="BK162" s="110"/>
      <c r="BL162" s="110"/>
      <c r="BM162" s="110"/>
      <c r="BN162" s="110"/>
      <c r="BO162" s="110"/>
      <c r="BP162" s="110"/>
      <c r="BQ162" s="110"/>
      <c r="BR162" s="110"/>
      <c r="BS162" s="110"/>
      <c r="BT162" s="110"/>
      <c r="BU162" s="111"/>
      <c r="BV162" s="111"/>
      <c r="BW162" s="111"/>
      <c r="BX162" s="111"/>
      <c r="BY162" s="111"/>
      <c r="BZ162" s="111"/>
      <c r="CA162" s="111"/>
      <c r="CB162" s="111"/>
      <c r="CC162" s="111"/>
      <c r="CD162" s="111"/>
      <c r="CE162" s="111"/>
      <c r="CF162" s="111"/>
      <c r="CH162" s="504">
        <f t="shared" si="29"/>
        <v>0</v>
      </c>
      <c r="CP162" s="77"/>
      <c r="CQ162" s="97"/>
      <c r="DE162" s="247"/>
      <c r="DF162" s="247"/>
      <c r="DG162" s="247"/>
      <c r="DH162" s="247"/>
      <c r="DI162" s="247"/>
      <c r="DJ162" s="247"/>
      <c r="DK162" s="247"/>
      <c r="DL162" s="247"/>
      <c r="DM162" s="247"/>
      <c r="DN162" s="247"/>
      <c r="DO162" s="247"/>
      <c r="DP162" s="247"/>
    </row>
    <row r="163" spans="3:120" s="91" customFormat="1" ht="39" customHeight="1" x14ac:dyDescent="0.3">
      <c r="C163" s="109"/>
      <c r="H163" s="91" t="s">
        <v>377</v>
      </c>
      <c r="K163" s="109"/>
      <c r="L163" s="77"/>
      <c r="M163" s="77"/>
      <c r="N163" s="77"/>
      <c r="O163" s="77"/>
      <c r="P163" s="91" t="s">
        <v>377</v>
      </c>
      <c r="Q163" s="91" t="s">
        <v>377</v>
      </c>
      <c r="R163" s="91" t="s">
        <v>377</v>
      </c>
      <c r="S163" s="91" t="s">
        <v>377</v>
      </c>
      <c r="T163" s="78" t="s">
        <v>377</v>
      </c>
      <c r="U163" s="91" t="s">
        <v>377</v>
      </c>
      <c r="V163" s="91" t="s">
        <v>377</v>
      </c>
      <c r="W163" s="91" t="s">
        <v>377</v>
      </c>
      <c r="X163" s="91" t="s">
        <v>377</v>
      </c>
      <c r="Y163" s="91" t="s">
        <v>377</v>
      </c>
      <c r="Z163" s="91" t="s">
        <v>377</v>
      </c>
      <c r="AA163" s="91" t="s">
        <v>377</v>
      </c>
      <c r="AB163" s="91" t="s">
        <v>377</v>
      </c>
      <c r="AC163" s="78" t="s">
        <v>377</v>
      </c>
      <c r="AD163" s="78" t="s">
        <v>377</v>
      </c>
      <c r="AE163" s="78" t="s">
        <v>377</v>
      </c>
      <c r="AF163" s="77"/>
      <c r="AG163" s="110"/>
      <c r="AH163" s="110"/>
      <c r="AI163" s="110"/>
      <c r="AJ163" s="110"/>
      <c r="AK163" s="110"/>
      <c r="AL163" s="110"/>
      <c r="AM163" s="110"/>
      <c r="AN163" s="110"/>
      <c r="AO163" s="110"/>
      <c r="AP163" s="110"/>
      <c r="AQ163" s="110"/>
      <c r="AR163" s="121"/>
      <c r="AS163" s="121"/>
      <c r="AT163" s="121"/>
      <c r="AU163" s="121"/>
      <c r="AV163" s="121"/>
      <c r="AW163" s="110"/>
      <c r="AX163" s="110"/>
      <c r="AY163" s="110"/>
      <c r="AZ163" s="110"/>
      <c r="BA163" s="110"/>
      <c r="BB163" s="110"/>
      <c r="BC163" s="110"/>
      <c r="BD163" s="110"/>
      <c r="BE163" s="110"/>
      <c r="BF163" s="110"/>
      <c r="BG163" s="110"/>
      <c r="BH163" s="110"/>
      <c r="BI163" s="110"/>
      <c r="BJ163" s="110"/>
      <c r="BK163" s="110"/>
      <c r="BL163" s="110"/>
      <c r="BM163" s="110"/>
      <c r="BN163" s="110"/>
      <c r="BO163" s="110"/>
      <c r="BP163" s="110"/>
      <c r="BQ163" s="110"/>
      <c r="BR163" s="110"/>
      <c r="BS163" s="110"/>
      <c r="BT163" s="110"/>
      <c r="BU163" s="111"/>
      <c r="BV163" s="111"/>
      <c r="BW163" s="111"/>
      <c r="BX163" s="111"/>
      <c r="BY163" s="111"/>
      <c r="BZ163" s="111"/>
      <c r="CA163" s="111"/>
      <c r="CB163" s="111"/>
      <c r="CC163" s="111"/>
      <c r="CD163" s="111"/>
      <c r="CE163" s="111"/>
      <c r="CF163" s="111"/>
      <c r="CH163" s="504">
        <f t="shared" si="29"/>
        <v>0</v>
      </c>
      <c r="CP163" s="77"/>
      <c r="CQ163" s="97"/>
      <c r="DE163" s="247"/>
      <c r="DF163" s="247"/>
      <c r="DG163" s="247"/>
      <c r="DH163" s="247"/>
      <c r="DI163" s="247"/>
      <c r="DJ163" s="247"/>
      <c r="DK163" s="247"/>
      <c r="DL163" s="247"/>
      <c r="DM163" s="247"/>
      <c r="DN163" s="247"/>
      <c r="DO163" s="247"/>
      <c r="DP163" s="247"/>
    </row>
    <row r="164" spans="3:120" s="91" customFormat="1" ht="28.9" customHeight="1" x14ac:dyDescent="0.3">
      <c r="C164" s="109"/>
      <c r="H164" s="91" t="s">
        <v>377</v>
      </c>
      <c r="K164" s="109"/>
      <c r="L164" s="77"/>
      <c r="M164" s="77"/>
      <c r="N164" s="77"/>
      <c r="O164" s="77"/>
      <c r="P164" s="91" t="s">
        <v>377</v>
      </c>
      <c r="Q164" s="91" t="s">
        <v>377</v>
      </c>
      <c r="R164" s="91" t="s">
        <v>377</v>
      </c>
      <c r="S164" s="91" t="s">
        <v>377</v>
      </c>
      <c r="T164" s="78" t="s">
        <v>377</v>
      </c>
      <c r="U164" s="91" t="s">
        <v>377</v>
      </c>
      <c r="V164" s="91" t="s">
        <v>377</v>
      </c>
      <c r="W164" s="91" t="s">
        <v>377</v>
      </c>
      <c r="X164" s="91" t="s">
        <v>377</v>
      </c>
      <c r="Y164" s="91" t="s">
        <v>377</v>
      </c>
      <c r="Z164" s="91" t="s">
        <v>377</v>
      </c>
      <c r="AA164" s="91" t="s">
        <v>377</v>
      </c>
      <c r="AB164" s="91" t="s">
        <v>377</v>
      </c>
      <c r="AC164" s="78" t="s">
        <v>377</v>
      </c>
      <c r="AD164" s="78" t="s">
        <v>377</v>
      </c>
      <c r="AE164" s="78" t="s">
        <v>377</v>
      </c>
      <c r="AF164" s="77"/>
      <c r="AG164" s="110"/>
      <c r="AH164" s="110"/>
      <c r="AI164" s="110"/>
      <c r="AJ164" s="110"/>
      <c r="AK164" s="110"/>
      <c r="AL164" s="110"/>
      <c r="AM164" s="110"/>
      <c r="AN164" s="110"/>
      <c r="AO164" s="110"/>
      <c r="AP164" s="110"/>
      <c r="AQ164" s="110"/>
      <c r="AR164" s="121"/>
      <c r="AS164" s="121"/>
      <c r="AT164" s="121"/>
      <c r="AU164" s="121"/>
      <c r="AV164" s="121"/>
      <c r="AW164" s="110"/>
      <c r="AX164" s="110"/>
      <c r="AY164" s="110"/>
      <c r="AZ164" s="110"/>
      <c r="BA164" s="110"/>
      <c r="BB164" s="110"/>
      <c r="BC164" s="110"/>
      <c r="BD164" s="110"/>
      <c r="BE164" s="110"/>
      <c r="BF164" s="110"/>
      <c r="BG164" s="110"/>
      <c r="BH164" s="110"/>
      <c r="BI164" s="110"/>
      <c r="BJ164" s="110"/>
      <c r="BK164" s="110"/>
      <c r="BL164" s="110"/>
      <c r="BM164" s="110"/>
      <c r="BN164" s="110"/>
      <c r="BO164" s="110"/>
      <c r="BP164" s="110"/>
      <c r="BQ164" s="110"/>
      <c r="BR164" s="110"/>
      <c r="BS164" s="110"/>
      <c r="BT164" s="110"/>
      <c r="BU164" s="111"/>
      <c r="BV164" s="111"/>
      <c r="BW164" s="111"/>
      <c r="BX164" s="111"/>
      <c r="BY164" s="111"/>
      <c r="BZ164" s="111"/>
      <c r="CA164" s="111"/>
      <c r="CB164" s="111"/>
      <c r="CC164" s="111"/>
      <c r="CD164" s="111"/>
      <c r="CE164" s="111"/>
      <c r="CF164" s="111"/>
      <c r="CH164" s="504">
        <f t="shared" si="29"/>
        <v>0</v>
      </c>
      <c r="CP164" s="77"/>
      <c r="CQ164" s="97"/>
      <c r="DE164" s="247"/>
      <c r="DF164" s="247"/>
      <c r="DG164" s="247"/>
      <c r="DH164" s="247"/>
      <c r="DI164" s="247"/>
      <c r="DJ164" s="247"/>
      <c r="DK164" s="247"/>
      <c r="DL164" s="247"/>
      <c r="DM164" s="247"/>
      <c r="DN164" s="247"/>
      <c r="DO164" s="247"/>
      <c r="DP164" s="247"/>
    </row>
    <row r="166" spans="3:120" ht="39" customHeight="1" x14ac:dyDescent="0.25">
      <c r="F166" s="114"/>
      <c r="AF166" s="110"/>
      <c r="AG166" s="110"/>
      <c r="AH166" s="110"/>
      <c r="AI166" s="110"/>
      <c r="AJ166" s="110"/>
      <c r="AK166" s="110"/>
      <c r="AL166" s="110"/>
      <c r="AM166" s="110"/>
      <c r="AN166" s="110"/>
      <c r="AO166" s="110"/>
      <c r="AP166" s="110"/>
      <c r="AQ166" s="110"/>
      <c r="AW166" s="110"/>
      <c r="AX166" s="110"/>
      <c r="AY166" s="110"/>
      <c r="AZ166" s="110"/>
      <c r="BA166" s="110"/>
      <c r="BB166" s="115"/>
      <c r="BC166" s="110"/>
      <c r="BD166" s="110"/>
      <c r="BE166" s="110"/>
      <c r="BF166" s="110"/>
      <c r="BG166" s="110"/>
      <c r="BH166" s="110"/>
      <c r="BI166" s="110"/>
      <c r="BJ166" s="110"/>
      <c r="BK166" s="110"/>
      <c r="BL166" s="110"/>
      <c r="BM166" s="110"/>
      <c r="BN166" s="110"/>
      <c r="BO166" s="110"/>
      <c r="BP166" s="110"/>
      <c r="BQ166" s="110"/>
      <c r="BR166" s="110"/>
      <c r="BS166" s="110"/>
      <c r="BT166" s="110"/>
      <c r="BY166" s="116"/>
    </row>
    <row r="167" spans="3:120" ht="39" customHeight="1" x14ac:dyDescent="0.25">
      <c r="AG167" s="110"/>
      <c r="AH167" s="110"/>
      <c r="AI167" s="110"/>
      <c r="AJ167" s="110"/>
      <c r="AK167" s="110"/>
      <c r="AL167" s="110"/>
      <c r="AM167" s="110"/>
      <c r="AN167" s="110"/>
      <c r="AO167" s="110"/>
      <c r="AP167" s="110"/>
      <c r="AQ167" s="110"/>
      <c r="AW167" s="110"/>
      <c r="AX167" s="110"/>
      <c r="AY167" s="110"/>
      <c r="AZ167" s="110"/>
      <c r="BA167" s="110"/>
      <c r="BB167" s="110"/>
      <c r="BC167" s="110"/>
      <c r="BD167" s="110"/>
      <c r="BE167" s="110"/>
      <c r="BF167" s="110"/>
      <c r="BG167" s="110"/>
      <c r="BH167" s="110"/>
      <c r="BI167" s="110"/>
      <c r="BJ167" s="110"/>
      <c r="BK167" s="110"/>
      <c r="BL167" s="110"/>
      <c r="BM167" s="110"/>
      <c r="BN167" s="110"/>
      <c r="BO167" s="110"/>
      <c r="BP167" s="110"/>
      <c r="BQ167" s="110"/>
      <c r="BR167" s="110"/>
      <c r="BS167" s="110"/>
      <c r="BT167" s="110"/>
    </row>
    <row r="168" spans="3:120" ht="39" customHeight="1" x14ac:dyDescent="0.25">
      <c r="AG168" s="110"/>
      <c r="AH168" s="110"/>
      <c r="AI168" s="110"/>
      <c r="AJ168" s="110"/>
      <c r="AK168" s="110"/>
      <c r="AL168" s="110"/>
      <c r="AM168" s="110"/>
      <c r="AN168" s="110"/>
      <c r="AO168" s="110"/>
      <c r="AP168" s="110"/>
      <c r="AQ168" s="110"/>
      <c r="AW168" s="110"/>
      <c r="AX168" s="110"/>
      <c r="AY168" s="110"/>
      <c r="AZ168" s="110"/>
      <c r="BA168" s="110"/>
      <c r="BB168" s="110"/>
      <c r="BC168" s="110"/>
      <c r="BD168" s="110"/>
      <c r="BE168" s="110"/>
      <c r="BF168" s="110"/>
      <c r="BG168" s="110"/>
      <c r="BH168" s="110"/>
      <c r="BI168" s="110"/>
      <c r="BJ168" s="110"/>
      <c r="BK168" s="110"/>
      <c r="BL168" s="110"/>
      <c r="BM168" s="110"/>
      <c r="BN168" s="110"/>
      <c r="BO168" s="110"/>
      <c r="BP168" s="110"/>
      <c r="BQ168" s="110"/>
      <c r="BR168" s="110"/>
      <c r="BS168" s="110"/>
      <c r="BT168" s="110"/>
    </row>
    <row r="169" spans="3:120" ht="39" customHeight="1" x14ac:dyDescent="0.25">
      <c r="AG169" s="110"/>
      <c r="AH169" s="110"/>
      <c r="AI169" s="110"/>
      <c r="AJ169" s="110"/>
      <c r="AK169" s="110"/>
      <c r="AL169" s="110"/>
      <c r="AM169" s="110"/>
      <c r="AN169" s="110"/>
      <c r="AO169" s="110"/>
      <c r="AP169" s="110"/>
      <c r="AQ169" s="110"/>
      <c r="AW169" s="110"/>
      <c r="AX169" s="110"/>
      <c r="AY169" s="110"/>
      <c r="AZ169" s="110"/>
      <c r="BA169" s="110"/>
      <c r="BB169" s="110"/>
      <c r="BC169" s="110"/>
      <c r="BD169" s="110"/>
      <c r="BE169" s="110"/>
      <c r="BF169" s="110"/>
      <c r="BG169" s="110"/>
      <c r="BH169" s="110"/>
      <c r="BI169" s="110"/>
      <c r="BJ169" s="110"/>
      <c r="BK169" s="110"/>
      <c r="BL169" s="110"/>
      <c r="BM169" s="110"/>
      <c r="BN169" s="110"/>
      <c r="BO169" s="110"/>
      <c r="BP169" s="110"/>
      <c r="BQ169" s="110"/>
      <c r="BR169" s="110"/>
      <c r="BS169" s="110"/>
      <c r="BT169" s="110"/>
    </row>
    <row r="170" spans="3:120" ht="39" customHeight="1" x14ac:dyDescent="0.25">
      <c r="AG170" s="110"/>
      <c r="AH170" s="110"/>
      <c r="AI170" s="110"/>
      <c r="AJ170" s="110"/>
      <c r="AK170" s="110"/>
      <c r="AL170" s="110"/>
      <c r="AM170" s="110"/>
      <c r="AN170" s="110"/>
      <c r="AO170" s="110"/>
      <c r="AP170" s="110"/>
      <c r="AQ170" s="110"/>
      <c r="AW170" s="110"/>
      <c r="AX170" s="110"/>
      <c r="AY170" s="110"/>
      <c r="AZ170" s="110"/>
      <c r="BA170" s="110"/>
      <c r="BB170" s="110"/>
      <c r="BC170" s="110"/>
      <c r="BD170" s="110"/>
      <c r="BE170" s="110"/>
      <c r="BF170" s="110"/>
      <c r="BG170" s="110"/>
      <c r="BH170" s="110"/>
      <c r="BI170" s="110"/>
      <c r="BJ170" s="110"/>
      <c r="BK170" s="110"/>
      <c r="BL170" s="110"/>
      <c r="BM170" s="110"/>
      <c r="BN170" s="110"/>
      <c r="BO170" s="110"/>
      <c r="BP170" s="110"/>
      <c r="BQ170" s="110"/>
      <c r="BR170" s="110"/>
      <c r="BS170" s="110"/>
      <c r="BT170" s="110"/>
    </row>
    <row r="171" spans="3:120" ht="39" customHeight="1" x14ac:dyDescent="0.25">
      <c r="AG171" s="110"/>
      <c r="AH171" s="110"/>
      <c r="AI171" s="110"/>
      <c r="AJ171" s="110"/>
      <c r="AK171" s="110"/>
      <c r="AL171" s="110"/>
      <c r="AM171" s="110"/>
      <c r="AN171" s="110"/>
      <c r="AO171" s="110"/>
      <c r="AP171" s="110"/>
      <c r="AQ171" s="110"/>
      <c r="AW171" s="110"/>
      <c r="AX171" s="110"/>
      <c r="AY171" s="110"/>
      <c r="AZ171" s="110"/>
      <c r="BA171" s="110"/>
      <c r="BB171" s="110"/>
      <c r="BC171" s="110"/>
      <c r="BD171" s="110"/>
      <c r="BE171" s="110"/>
      <c r="BF171" s="110"/>
      <c r="BG171" s="110"/>
      <c r="BH171" s="110"/>
      <c r="BI171" s="110"/>
      <c r="BJ171" s="110"/>
      <c r="BK171" s="110"/>
      <c r="BL171" s="110"/>
      <c r="BM171" s="110"/>
      <c r="BN171" s="110"/>
      <c r="BO171" s="110"/>
      <c r="BP171" s="110"/>
      <c r="BQ171" s="110"/>
      <c r="BR171" s="110"/>
      <c r="BS171" s="110"/>
      <c r="BT171" s="110"/>
    </row>
    <row r="172" spans="3:120" ht="39" customHeight="1" x14ac:dyDescent="0.25">
      <c r="AG172" s="110"/>
      <c r="AH172" s="110"/>
      <c r="AI172" s="110"/>
      <c r="AJ172" s="110"/>
      <c r="AK172" s="110"/>
      <c r="AL172" s="110"/>
      <c r="AM172" s="110"/>
      <c r="AN172" s="110"/>
      <c r="AO172" s="110"/>
      <c r="AP172" s="110"/>
      <c r="AQ172" s="110"/>
      <c r="AW172" s="110"/>
      <c r="AX172" s="110"/>
      <c r="AY172" s="110"/>
      <c r="AZ172" s="110"/>
      <c r="BA172" s="110"/>
      <c r="BB172" s="110"/>
      <c r="BC172" s="110"/>
      <c r="BD172" s="110"/>
      <c r="BE172" s="110"/>
      <c r="BF172" s="110"/>
      <c r="BG172" s="110"/>
      <c r="BH172" s="110"/>
      <c r="BI172" s="110"/>
      <c r="BJ172" s="110"/>
      <c r="BK172" s="110"/>
      <c r="BL172" s="110"/>
      <c r="BM172" s="110"/>
      <c r="BN172" s="110"/>
      <c r="BO172" s="110"/>
      <c r="BP172" s="110"/>
      <c r="BQ172" s="110"/>
      <c r="BR172" s="110"/>
      <c r="BS172" s="110"/>
      <c r="BT172" s="110"/>
    </row>
    <row r="173" spans="3:120" ht="39" customHeight="1" x14ac:dyDescent="0.25">
      <c r="AG173" s="110"/>
      <c r="AH173" s="110"/>
      <c r="AI173" s="110"/>
      <c r="AJ173" s="110"/>
      <c r="AK173" s="110"/>
      <c r="AL173" s="110"/>
      <c r="AM173" s="110"/>
      <c r="AN173" s="110"/>
      <c r="AO173" s="110"/>
      <c r="AP173" s="110"/>
      <c r="AQ173" s="110"/>
      <c r="AW173" s="110"/>
      <c r="AX173" s="110"/>
      <c r="AY173" s="110"/>
      <c r="AZ173" s="110"/>
      <c r="BA173" s="110"/>
      <c r="BB173" s="110"/>
      <c r="BC173" s="110"/>
      <c r="BD173" s="110"/>
      <c r="BE173" s="110"/>
      <c r="BF173" s="110"/>
      <c r="BG173" s="110"/>
      <c r="BH173" s="110"/>
      <c r="BI173" s="110"/>
      <c r="BJ173" s="110"/>
      <c r="BK173" s="110"/>
      <c r="BL173" s="110"/>
      <c r="BM173" s="110"/>
      <c r="BN173" s="110"/>
      <c r="BO173" s="110"/>
      <c r="BP173" s="110"/>
      <c r="BQ173" s="110"/>
      <c r="BR173" s="110"/>
      <c r="BS173" s="110"/>
      <c r="BT173" s="110"/>
    </row>
    <row r="174" spans="3:120" ht="39" customHeight="1" x14ac:dyDescent="0.25">
      <c r="AG174" s="110"/>
      <c r="AH174" s="110"/>
      <c r="AI174" s="110"/>
      <c r="AJ174" s="110"/>
      <c r="AK174" s="110"/>
      <c r="AL174" s="110"/>
      <c r="AM174" s="110"/>
      <c r="AN174" s="110"/>
      <c r="AO174" s="110"/>
      <c r="AP174" s="110"/>
      <c r="AQ174" s="110"/>
      <c r="AW174" s="110"/>
      <c r="AX174" s="110"/>
      <c r="AY174" s="110"/>
      <c r="AZ174" s="110"/>
      <c r="BA174" s="110"/>
      <c r="BB174" s="110"/>
      <c r="BC174" s="110"/>
      <c r="BD174" s="110"/>
      <c r="BE174" s="110"/>
      <c r="BF174" s="110"/>
      <c r="BG174" s="110"/>
      <c r="BH174" s="110"/>
      <c r="BI174" s="110"/>
      <c r="BJ174" s="110"/>
      <c r="BK174" s="110"/>
      <c r="BL174" s="110"/>
      <c r="BM174" s="110"/>
      <c r="BN174" s="110"/>
      <c r="BO174" s="110"/>
      <c r="BP174" s="110"/>
      <c r="BQ174" s="110"/>
      <c r="BR174" s="110"/>
      <c r="BS174" s="110"/>
      <c r="BT174" s="110"/>
    </row>
    <row r="175" spans="3:120" ht="39" customHeight="1" x14ac:dyDescent="0.25">
      <c r="AG175" s="110"/>
      <c r="AH175" s="110"/>
      <c r="AI175" s="110"/>
      <c r="AJ175" s="110"/>
      <c r="AK175" s="110"/>
      <c r="AL175" s="110"/>
      <c r="AM175" s="110"/>
      <c r="AN175" s="110"/>
      <c r="AO175" s="110"/>
      <c r="AP175" s="110"/>
      <c r="AQ175" s="110"/>
      <c r="AW175" s="110"/>
      <c r="AX175" s="110"/>
      <c r="AY175" s="110"/>
      <c r="AZ175" s="110"/>
      <c r="BA175" s="110"/>
      <c r="BB175" s="110"/>
      <c r="BC175" s="110"/>
      <c r="BD175" s="110"/>
      <c r="BE175" s="110"/>
      <c r="BF175" s="110"/>
      <c r="BG175" s="110"/>
      <c r="BH175" s="110"/>
      <c r="BI175" s="110"/>
      <c r="BJ175" s="110"/>
      <c r="BK175" s="110"/>
      <c r="BL175" s="110"/>
      <c r="BM175" s="110"/>
      <c r="BN175" s="110"/>
      <c r="BO175" s="110"/>
      <c r="BP175" s="110"/>
      <c r="BQ175" s="110"/>
      <c r="BR175" s="110"/>
      <c r="BS175" s="110"/>
      <c r="BT175" s="110"/>
    </row>
    <row r="176" spans="3:120" ht="39" customHeight="1" x14ac:dyDescent="0.25">
      <c r="AG176" s="110"/>
      <c r="AH176" s="110"/>
      <c r="AI176" s="110"/>
      <c r="AJ176" s="110"/>
      <c r="AK176" s="110"/>
      <c r="AL176" s="110"/>
      <c r="AM176" s="110"/>
      <c r="AN176" s="110"/>
      <c r="AO176" s="110"/>
      <c r="AP176" s="110"/>
      <c r="AQ176" s="110"/>
      <c r="AW176" s="110"/>
      <c r="AX176" s="110"/>
      <c r="AY176" s="110"/>
      <c r="AZ176" s="110"/>
      <c r="BA176" s="110"/>
      <c r="BB176" s="110"/>
      <c r="BC176" s="110"/>
      <c r="BD176" s="110"/>
      <c r="BE176" s="110"/>
      <c r="BF176" s="110"/>
      <c r="BG176" s="110"/>
      <c r="BH176" s="110"/>
      <c r="BI176" s="110"/>
      <c r="BJ176" s="110"/>
      <c r="BK176" s="110"/>
      <c r="BL176" s="110"/>
      <c r="BM176" s="110"/>
      <c r="BN176" s="110"/>
      <c r="BO176" s="110"/>
      <c r="BP176" s="110"/>
      <c r="BQ176" s="110"/>
      <c r="BR176" s="110"/>
      <c r="BS176" s="110"/>
      <c r="BT176" s="110"/>
    </row>
    <row r="177" spans="33:72" ht="39" customHeight="1" x14ac:dyDescent="0.25">
      <c r="AG177" s="110"/>
      <c r="AH177" s="110"/>
      <c r="AI177" s="110"/>
      <c r="AJ177" s="110"/>
      <c r="AK177" s="110"/>
      <c r="AL177" s="110"/>
      <c r="AM177" s="110"/>
      <c r="AN177" s="110"/>
      <c r="AO177" s="110"/>
      <c r="AP177" s="110"/>
      <c r="AQ177" s="110"/>
      <c r="AW177" s="110"/>
      <c r="AX177" s="110"/>
      <c r="AY177" s="110"/>
      <c r="AZ177" s="110"/>
      <c r="BA177" s="110"/>
      <c r="BB177" s="110"/>
      <c r="BC177" s="110"/>
      <c r="BD177" s="110"/>
      <c r="BE177" s="110"/>
      <c r="BF177" s="110"/>
      <c r="BG177" s="110"/>
      <c r="BH177" s="110"/>
      <c r="BI177" s="110"/>
      <c r="BJ177" s="110"/>
      <c r="BK177" s="110"/>
      <c r="BL177" s="110"/>
      <c r="BM177" s="110"/>
      <c r="BN177" s="110"/>
      <c r="BO177" s="110"/>
      <c r="BP177" s="110"/>
      <c r="BQ177" s="110"/>
      <c r="BR177" s="110"/>
      <c r="BS177" s="110"/>
      <c r="BT177" s="110"/>
    </row>
    <row r="178" spans="33:72" ht="39" customHeight="1" x14ac:dyDescent="0.25">
      <c r="AG178" s="110"/>
      <c r="AH178" s="110"/>
      <c r="AI178" s="110"/>
      <c r="AJ178" s="110"/>
      <c r="AK178" s="110"/>
      <c r="AL178" s="110"/>
      <c r="AM178" s="110"/>
      <c r="AN178" s="110"/>
      <c r="AO178" s="110"/>
      <c r="AP178" s="110"/>
      <c r="AQ178" s="110"/>
      <c r="AW178" s="110"/>
      <c r="AX178" s="110"/>
      <c r="AY178" s="110"/>
      <c r="AZ178" s="110"/>
      <c r="BA178" s="110"/>
      <c r="BB178" s="110"/>
      <c r="BC178" s="110"/>
      <c r="BD178" s="110"/>
      <c r="BE178" s="110"/>
      <c r="BF178" s="110"/>
      <c r="BG178" s="110"/>
      <c r="BH178" s="110"/>
      <c r="BI178" s="110"/>
      <c r="BJ178" s="110"/>
      <c r="BK178" s="110"/>
      <c r="BL178" s="110"/>
      <c r="BM178" s="110"/>
      <c r="BN178" s="110"/>
      <c r="BO178" s="110"/>
      <c r="BP178" s="110"/>
      <c r="BQ178" s="110"/>
      <c r="BR178" s="110"/>
      <c r="BS178" s="110"/>
      <c r="BT178" s="110"/>
    </row>
    <row r="179" spans="33:72" ht="39" customHeight="1" x14ac:dyDescent="0.25">
      <c r="AG179" s="110"/>
      <c r="AH179" s="110"/>
      <c r="AI179" s="110"/>
      <c r="AJ179" s="110"/>
      <c r="AK179" s="110"/>
      <c r="AL179" s="110"/>
      <c r="AM179" s="110"/>
      <c r="AN179" s="110"/>
      <c r="AO179" s="110"/>
      <c r="AP179" s="110"/>
      <c r="AQ179" s="110"/>
      <c r="AW179" s="110"/>
      <c r="AX179" s="110"/>
      <c r="AY179" s="110"/>
      <c r="AZ179" s="110"/>
      <c r="BA179" s="110"/>
      <c r="BB179" s="110"/>
      <c r="BC179" s="110"/>
      <c r="BD179" s="110"/>
      <c r="BE179" s="110"/>
      <c r="BF179" s="110"/>
      <c r="BG179" s="110"/>
      <c r="BH179" s="110"/>
      <c r="BI179" s="110"/>
      <c r="BJ179" s="110"/>
      <c r="BK179" s="110"/>
      <c r="BL179" s="110"/>
      <c r="BM179" s="110"/>
      <c r="BN179" s="110"/>
      <c r="BO179" s="110"/>
      <c r="BP179" s="110"/>
      <c r="BQ179" s="110"/>
      <c r="BR179" s="110"/>
      <c r="BS179" s="110"/>
      <c r="BT179" s="110"/>
    </row>
    <row r="180" spans="33:72" ht="39" customHeight="1" x14ac:dyDescent="0.25">
      <c r="AG180" s="110"/>
      <c r="AH180" s="110"/>
      <c r="AI180" s="110"/>
      <c r="AJ180" s="110"/>
      <c r="AK180" s="110"/>
      <c r="AL180" s="110"/>
      <c r="AM180" s="110"/>
      <c r="AN180" s="110"/>
      <c r="AO180" s="110"/>
      <c r="AP180" s="110"/>
      <c r="AQ180" s="110"/>
      <c r="AW180" s="110"/>
      <c r="AX180" s="110"/>
      <c r="AY180" s="110"/>
      <c r="AZ180" s="110"/>
      <c r="BA180" s="110"/>
      <c r="BB180" s="110"/>
      <c r="BC180" s="110"/>
      <c r="BD180" s="110"/>
      <c r="BE180" s="110"/>
      <c r="BF180" s="110"/>
      <c r="BG180" s="110"/>
      <c r="BH180" s="110"/>
      <c r="BI180" s="110"/>
      <c r="BJ180" s="110"/>
      <c r="BK180" s="110"/>
      <c r="BL180" s="110"/>
      <c r="BM180" s="110"/>
      <c r="BN180" s="110"/>
      <c r="BO180" s="110"/>
      <c r="BP180" s="110"/>
      <c r="BQ180" s="110"/>
      <c r="BR180" s="110"/>
      <c r="BS180" s="110"/>
      <c r="BT180" s="110"/>
    </row>
    <row r="181" spans="33:72" ht="39" customHeight="1" x14ac:dyDescent="0.25">
      <c r="AG181" s="110"/>
      <c r="AH181" s="110"/>
      <c r="AI181" s="110"/>
      <c r="AJ181" s="110"/>
      <c r="AK181" s="110"/>
      <c r="AL181" s="110"/>
      <c r="AM181" s="110"/>
      <c r="AN181" s="110"/>
      <c r="AO181" s="110"/>
      <c r="AP181" s="110"/>
      <c r="AQ181" s="110"/>
      <c r="AW181" s="110"/>
      <c r="AX181" s="110"/>
      <c r="AY181" s="110"/>
      <c r="AZ181" s="110"/>
      <c r="BA181" s="110"/>
      <c r="BB181" s="110"/>
      <c r="BC181" s="110"/>
      <c r="BD181" s="110"/>
      <c r="BE181" s="110"/>
      <c r="BF181" s="110"/>
      <c r="BG181" s="110"/>
      <c r="BH181" s="110"/>
      <c r="BI181" s="110"/>
      <c r="BJ181" s="110"/>
      <c r="BK181" s="110"/>
      <c r="BL181" s="110"/>
      <c r="BM181" s="110"/>
      <c r="BN181" s="110"/>
      <c r="BO181" s="110"/>
      <c r="BP181" s="110"/>
      <c r="BQ181" s="110"/>
      <c r="BR181" s="110"/>
      <c r="BS181" s="110"/>
      <c r="BT181" s="110"/>
    </row>
    <row r="182" spans="33:72" ht="39" customHeight="1" x14ac:dyDescent="0.25">
      <c r="AG182" s="110"/>
      <c r="AH182" s="110"/>
      <c r="AI182" s="110"/>
      <c r="AJ182" s="110"/>
      <c r="AK182" s="110"/>
      <c r="AL182" s="110"/>
      <c r="AM182" s="110"/>
      <c r="AN182" s="110"/>
      <c r="AO182" s="110"/>
      <c r="AP182" s="110"/>
      <c r="AQ182" s="110"/>
      <c r="AW182" s="110"/>
      <c r="AX182" s="110"/>
      <c r="AY182" s="110"/>
      <c r="AZ182" s="110"/>
      <c r="BA182" s="110"/>
      <c r="BB182" s="110"/>
      <c r="BC182" s="110"/>
      <c r="BD182" s="110"/>
      <c r="BE182" s="110"/>
      <c r="BF182" s="110"/>
      <c r="BG182" s="110"/>
      <c r="BH182" s="110"/>
      <c r="BI182" s="110"/>
      <c r="BJ182" s="110"/>
      <c r="BK182" s="110"/>
      <c r="BL182" s="110"/>
      <c r="BM182" s="110"/>
      <c r="BN182" s="110"/>
      <c r="BO182" s="110"/>
      <c r="BP182" s="110"/>
      <c r="BQ182" s="110"/>
      <c r="BR182" s="110"/>
      <c r="BS182" s="110"/>
      <c r="BT182" s="110"/>
    </row>
    <row r="183" spans="33:72" ht="39" customHeight="1" x14ac:dyDescent="0.25">
      <c r="AG183" s="110"/>
      <c r="AH183" s="110"/>
      <c r="AI183" s="110"/>
      <c r="AJ183" s="110"/>
      <c r="AK183" s="110"/>
      <c r="AL183" s="110"/>
      <c r="AM183" s="110"/>
      <c r="AN183" s="110"/>
      <c r="AO183" s="110"/>
      <c r="AP183" s="110"/>
      <c r="AQ183" s="110"/>
      <c r="AW183" s="110"/>
      <c r="AX183" s="110"/>
      <c r="AY183" s="110"/>
      <c r="AZ183" s="110"/>
      <c r="BA183" s="110"/>
      <c r="BB183" s="110"/>
      <c r="BC183" s="110"/>
      <c r="BD183" s="110"/>
      <c r="BE183" s="110"/>
      <c r="BF183" s="110"/>
      <c r="BG183" s="110"/>
      <c r="BH183" s="110"/>
      <c r="BI183" s="110"/>
      <c r="BJ183" s="110"/>
      <c r="BK183" s="110"/>
      <c r="BL183" s="110"/>
      <c r="BM183" s="110"/>
      <c r="BN183" s="110"/>
      <c r="BO183" s="110"/>
      <c r="BP183" s="110"/>
      <c r="BQ183" s="110"/>
      <c r="BR183" s="110"/>
      <c r="BS183" s="110"/>
      <c r="BT183" s="110"/>
    </row>
    <row r="184" spans="33:72" ht="39" customHeight="1" x14ac:dyDescent="0.25">
      <c r="AG184" s="110"/>
      <c r="AH184" s="110"/>
      <c r="AI184" s="110"/>
      <c r="AJ184" s="110"/>
      <c r="AK184" s="110"/>
      <c r="AL184" s="110"/>
      <c r="AM184" s="110"/>
      <c r="AN184" s="110"/>
      <c r="AO184" s="110"/>
      <c r="AP184" s="110"/>
      <c r="AQ184" s="110"/>
      <c r="AW184" s="110"/>
      <c r="AX184" s="110"/>
      <c r="AY184" s="110"/>
      <c r="AZ184" s="110"/>
      <c r="BA184" s="110"/>
      <c r="BB184" s="110"/>
      <c r="BC184" s="110"/>
      <c r="BD184" s="110"/>
      <c r="BE184" s="110"/>
      <c r="BF184" s="110"/>
      <c r="BG184" s="110"/>
      <c r="BH184" s="110"/>
      <c r="BI184" s="110"/>
      <c r="BJ184" s="110"/>
      <c r="BK184" s="110"/>
      <c r="BL184" s="110"/>
      <c r="BM184" s="110"/>
      <c r="BN184" s="110"/>
      <c r="BO184" s="110"/>
      <c r="BP184" s="110"/>
      <c r="BQ184" s="110"/>
      <c r="BR184" s="110"/>
      <c r="BS184" s="110"/>
      <c r="BT184" s="110"/>
    </row>
    <row r="185" spans="33:72" ht="39" customHeight="1" x14ac:dyDescent="0.25">
      <c r="AG185" s="110"/>
      <c r="AH185" s="110"/>
      <c r="AI185" s="110"/>
      <c r="AJ185" s="110"/>
      <c r="AK185" s="110"/>
      <c r="AL185" s="110"/>
      <c r="AM185" s="110"/>
      <c r="AN185" s="110"/>
      <c r="AO185" s="110"/>
      <c r="AP185" s="110"/>
      <c r="AQ185" s="110"/>
      <c r="AW185" s="110"/>
      <c r="AX185" s="110"/>
      <c r="AY185" s="110"/>
      <c r="AZ185" s="110"/>
      <c r="BA185" s="110"/>
      <c r="BB185" s="110"/>
      <c r="BC185" s="110"/>
      <c r="BD185" s="110"/>
      <c r="BE185" s="110"/>
      <c r="BF185" s="110"/>
      <c r="BG185" s="110"/>
      <c r="BH185" s="110"/>
      <c r="BI185" s="110"/>
      <c r="BJ185" s="110"/>
      <c r="BK185" s="110"/>
      <c r="BL185" s="110"/>
      <c r="BM185" s="110"/>
      <c r="BN185" s="110"/>
      <c r="BO185" s="110"/>
      <c r="BP185" s="110"/>
      <c r="BQ185" s="110"/>
      <c r="BR185" s="110"/>
      <c r="BS185" s="110"/>
      <c r="BT185" s="110"/>
    </row>
    <row r="186" spans="33:72" ht="39" customHeight="1" x14ac:dyDescent="0.25">
      <c r="AG186" s="110"/>
      <c r="AH186" s="110"/>
      <c r="AI186" s="110"/>
      <c r="AJ186" s="110"/>
      <c r="AK186" s="110"/>
      <c r="AL186" s="110"/>
      <c r="AM186" s="110"/>
      <c r="AN186" s="110"/>
      <c r="AO186" s="110"/>
      <c r="AP186" s="110"/>
      <c r="AQ186" s="110"/>
      <c r="AW186" s="110"/>
      <c r="AX186" s="110"/>
      <c r="AY186" s="110"/>
      <c r="AZ186" s="110"/>
      <c r="BA186" s="110"/>
      <c r="BB186" s="110"/>
      <c r="BC186" s="110"/>
      <c r="BD186" s="110"/>
      <c r="BE186" s="110"/>
      <c r="BF186" s="110"/>
      <c r="BG186" s="110"/>
      <c r="BH186" s="110"/>
      <c r="BI186" s="110"/>
      <c r="BJ186" s="110"/>
      <c r="BK186" s="110"/>
      <c r="BL186" s="110"/>
      <c r="BM186" s="110"/>
      <c r="BN186" s="110"/>
      <c r="BO186" s="110"/>
      <c r="BP186" s="110"/>
      <c r="BQ186" s="110"/>
      <c r="BR186" s="110"/>
      <c r="BS186" s="110"/>
      <c r="BT186" s="110"/>
    </row>
    <row r="187" spans="33:72" ht="39" customHeight="1" x14ac:dyDescent="0.25">
      <c r="AG187" s="110"/>
      <c r="AH187" s="110"/>
      <c r="AI187" s="110"/>
      <c r="AJ187" s="110"/>
      <c r="AK187" s="110"/>
      <c r="AL187" s="110"/>
      <c r="AM187" s="110"/>
      <c r="AN187" s="110"/>
      <c r="AO187" s="110"/>
      <c r="AP187" s="110"/>
      <c r="AQ187" s="110"/>
      <c r="AW187" s="110"/>
      <c r="AX187" s="110"/>
      <c r="AY187" s="110"/>
      <c r="AZ187" s="110"/>
      <c r="BA187" s="110"/>
      <c r="BB187" s="110"/>
      <c r="BC187" s="110"/>
      <c r="BD187" s="110"/>
      <c r="BE187" s="110"/>
      <c r="BF187" s="110"/>
      <c r="BG187" s="110"/>
      <c r="BH187" s="110"/>
      <c r="BI187" s="110"/>
      <c r="BJ187" s="110"/>
      <c r="BK187" s="110"/>
      <c r="BL187" s="110"/>
      <c r="BM187" s="110"/>
      <c r="BN187" s="110"/>
      <c r="BO187" s="110"/>
      <c r="BP187" s="110"/>
      <c r="BQ187" s="110"/>
      <c r="BR187" s="110"/>
      <c r="BS187" s="110"/>
      <c r="BT187" s="110"/>
    </row>
    <row r="188" spans="33:72" ht="39" customHeight="1" x14ac:dyDescent="0.25">
      <c r="AG188" s="110"/>
      <c r="AH188" s="110"/>
      <c r="AI188" s="110"/>
      <c r="AJ188" s="110"/>
      <c r="AK188" s="110"/>
      <c r="AL188" s="110"/>
      <c r="AM188" s="110"/>
      <c r="AN188" s="110"/>
      <c r="AO188" s="110"/>
      <c r="AP188" s="110"/>
      <c r="AQ188" s="110"/>
      <c r="AW188" s="110"/>
      <c r="AX188" s="110"/>
      <c r="AY188" s="110"/>
      <c r="AZ188" s="110"/>
      <c r="BA188" s="110"/>
      <c r="BB188" s="110"/>
      <c r="BC188" s="110"/>
      <c r="BD188" s="110"/>
      <c r="BE188" s="110"/>
      <c r="BF188" s="110"/>
      <c r="BG188" s="110"/>
      <c r="BH188" s="110"/>
      <c r="BI188" s="110"/>
      <c r="BJ188" s="110"/>
      <c r="BK188" s="110"/>
      <c r="BL188" s="110"/>
      <c r="BM188" s="110"/>
      <c r="BN188" s="110"/>
      <c r="BO188" s="110"/>
      <c r="BP188" s="110"/>
      <c r="BQ188" s="110"/>
      <c r="BR188" s="110"/>
      <c r="BS188" s="110"/>
      <c r="BT188" s="110"/>
    </row>
    <row r="189" spans="33:72" ht="39" customHeight="1" x14ac:dyDescent="0.25">
      <c r="AG189" s="110"/>
      <c r="AH189" s="110"/>
      <c r="AI189" s="110"/>
      <c r="AJ189" s="110"/>
      <c r="AK189" s="110"/>
      <c r="AL189" s="110"/>
      <c r="AM189" s="110"/>
      <c r="AN189" s="110"/>
      <c r="AO189" s="110"/>
      <c r="AP189" s="110"/>
      <c r="AQ189" s="110"/>
      <c r="AW189" s="110"/>
      <c r="AX189" s="110"/>
      <c r="AY189" s="110"/>
      <c r="AZ189" s="110"/>
      <c r="BA189" s="110"/>
      <c r="BB189" s="110"/>
      <c r="BC189" s="110"/>
      <c r="BD189" s="110"/>
      <c r="BE189" s="110"/>
      <c r="BF189" s="110"/>
      <c r="BG189" s="110"/>
      <c r="BH189" s="110"/>
      <c r="BI189" s="110"/>
      <c r="BJ189" s="110"/>
      <c r="BK189" s="110"/>
      <c r="BL189" s="110"/>
      <c r="BM189" s="110"/>
      <c r="BN189" s="110"/>
      <c r="BO189" s="110"/>
      <c r="BP189" s="110"/>
      <c r="BQ189" s="110"/>
      <c r="BR189" s="110"/>
      <c r="BS189" s="110"/>
      <c r="BT189" s="110"/>
    </row>
    <row r="190" spans="33:72" ht="39" customHeight="1" x14ac:dyDescent="0.25">
      <c r="AG190" s="110"/>
      <c r="AH190" s="110"/>
      <c r="AI190" s="110"/>
      <c r="AJ190" s="110"/>
      <c r="AK190" s="110"/>
      <c r="AL190" s="110"/>
      <c r="AM190" s="110"/>
      <c r="AN190" s="110"/>
      <c r="AO190" s="110"/>
      <c r="AP190" s="110"/>
      <c r="AQ190" s="110"/>
      <c r="AW190" s="110"/>
      <c r="AX190" s="110"/>
      <c r="AY190" s="110"/>
      <c r="AZ190" s="110"/>
      <c r="BA190" s="110"/>
      <c r="BB190" s="110"/>
      <c r="BC190" s="110"/>
      <c r="BD190" s="110"/>
      <c r="BE190" s="110"/>
      <c r="BF190" s="110"/>
      <c r="BG190" s="110"/>
      <c r="BH190" s="110"/>
      <c r="BI190" s="110"/>
      <c r="BJ190" s="110"/>
      <c r="BK190" s="110"/>
      <c r="BL190" s="110"/>
      <c r="BM190" s="110"/>
      <c r="BN190" s="110"/>
      <c r="BO190" s="110"/>
      <c r="BP190" s="110"/>
      <c r="BQ190" s="110"/>
      <c r="BR190" s="110"/>
      <c r="BS190" s="110"/>
      <c r="BT190" s="110"/>
    </row>
    <row r="191" spans="33:72" ht="39" customHeight="1" x14ac:dyDescent="0.25">
      <c r="AG191" s="110"/>
      <c r="AH191" s="110"/>
      <c r="AI191" s="110"/>
      <c r="AJ191" s="110"/>
      <c r="AK191" s="110"/>
      <c r="AL191" s="110"/>
      <c r="AM191" s="110"/>
      <c r="AN191" s="110"/>
      <c r="AO191" s="110"/>
      <c r="AP191" s="110"/>
      <c r="AQ191" s="110"/>
      <c r="AW191" s="110"/>
      <c r="AX191" s="110"/>
      <c r="AY191" s="110"/>
      <c r="AZ191" s="110"/>
      <c r="BA191" s="110"/>
      <c r="BB191" s="110"/>
      <c r="BC191" s="110"/>
      <c r="BD191" s="110"/>
      <c r="BE191" s="110"/>
      <c r="BF191" s="110"/>
      <c r="BG191" s="110"/>
      <c r="BH191" s="110"/>
      <c r="BI191" s="110"/>
      <c r="BJ191" s="110"/>
      <c r="BK191" s="110"/>
      <c r="BL191" s="110"/>
      <c r="BM191" s="110"/>
      <c r="BN191" s="110"/>
      <c r="BO191" s="110"/>
      <c r="BP191" s="110"/>
      <c r="BQ191" s="110"/>
      <c r="BR191" s="110"/>
      <c r="BS191" s="110"/>
      <c r="BT191" s="110"/>
    </row>
    <row r="192" spans="33:72" ht="39" customHeight="1" x14ac:dyDescent="0.25">
      <c r="AG192" s="110"/>
      <c r="AH192" s="110"/>
      <c r="AI192" s="110"/>
      <c r="AJ192" s="110"/>
      <c r="AK192" s="110"/>
      <c r="AL192" s="110"/>
      <c r="AM192" s="110"/>
      <c r="AN192" s="110"/>
      <c r="AO192" s="110"/>
      <c r="AP192" s="110"/>
      <c r="AQ192" s="110"/>
      <c r="AW192" s="110"/>
      <c r="AX192" s="110"/>
      <c r="AY192" s="110"/>
      <c r="AZ192" s="110"/>
      <c r="BA192" s="110"/>
      <c r="BB192" s="110"/>
      <c r="BC192" s="110"/>
      <c r="BD192" s="110"/>
      <c r="BE192" s="110"/>
      <c r="BF192" s="110"/>
      <c r="BG192" s="110"/>
      <c r="BH192" s="110"/>
      <c r="BI192" s="110"/>
      <c r="BJ192" s="110"/>
      <c r="BK192" s="110"/>
      <c r="BL192" s="110"/>
      <c r="BM192" s="110"/>
      <c r="BN192" s="110"/>
      <c r="BO192" s="110"/>
      <c r="BP192" s="110"/>
      <c r="BQ192" s="110"/>
      <c r="BR192" s="110"/>
      <c r="BS192" s="110"/>
      <c r="BT192" s="110"/>
    </row>
    <row r="193" spans="33:72" ht="39" customHeight="1" x14ac:dyDescent="0.25">
      <c r="AG193" s="110"/>
      <c r="AH193" s="110"/>
      <c r="AI193" s="110"/>
      <c r="AJ193" s="110"/>
      <c r="AK193" s="110"/>
      <c r="AL193" s="110"/>
      <c r="AM193" s="110"/>
      <c r="AN193" s="110"/>
      <c r="AO193" s="110"/>
      <c r="AP193" s="110"/>
      <c r="AQ193" s="110"/>
      <c r="AW193" s="110"/>
      <c r="AX193" s="110"/>
      <c r="AY193" s="110"/>
      <c r="AZ193" s="110"/>
      <c r="BA193" s="110"/>
      <c r="BB193" s="110"/>
      <c r="BC193" s="110"/>
      <c r="BD193" s="110"/>
      <c r="BE193" s="110"/>
      <c r="BF193" s="110"/>
      <c r="BG193" s="110"/>
      <c r="BH193" s="110"/>
      <c r="BI193" s="110"/>
      <c r="BJ193" s="110"/>
      <c r="BK193" s="110"/>
      <c r="BL193" s="110"/>
      <c r="BM193" s="110"/>
      <c r="BN193" s="110"/>
      <c r="BO193" s="110"/>
      <c r="BP193" s="110"/>
      <c r="BQ193" s="110"/>
      <c r="BR193" s="110"/>
      <c r="BS193" s="110"/>
      <c r="BT193" s="110"/>
    </row>
    <row r="194" spans="33:72" ht="39" customHeight="1" x14ac:dyDescent="0.25">
      <c r="AG194" s="110"/>
      <c r="AH194" s="110"/>
      <c r="AI194" s="110"/>
      <c r="AJ194" s="110"/>
      <c r="AK194" s="110"/>
      <c r="AL194" s="110"/>
      <c r="AM194" s="110"/>
      <c r="AN194" s="110"/>
      <c r="AO194" s="110"/>
      <c r="AP194" s="110"/>
      <c r="AQ194" s="110"/>
      <c r="AW194" s="110"/>
      <c r="AX194" s="110"/>
      <c r="AY194" s="110"/>
      <c r="AZ194" s="110"/>
      <c r="BA194" s="110"/>
      <c r="BB194" s="110"/>
      <c r="BC194" s="110"/>
      <c r="BD194" s="110"/>
      <c r="BE194" s="110"/>
      <c r="BF194" s="110"/>
      <c r="BG194" s="110"/>
      <c r="BH194" s="110"/>
      <c r="BI194" s="110"/>
      <c r="BJ194" s="110"/>
      <c r="BK194" s="110"/>
      <c r="BL194" s="110"/>
      <c r="BM194" s="110"/>
      <c r="BN194" s="110"/>
      <c r="BO194" s="110"/>
      <c r="BP194" s="110"/>
      <c r="BQ194" s="110"/>
      <c r="BR194" s="110"/>
      <c r="BS194" s="110"/>
      <c r="BT194" s="110"/>
    </row>
    <row r="195" spans="33:72" ht="39" customHeight="1" x14ac:dyDescent="0.25">
      <c r="AG195" s="110"/>
      <c r="AH195" s="110"/>
      <c r="AI195" s="110"/>
      <c r="AJ195" s="110"/>
      <c r="AK195" s="110"/>
      <c r="AL195" s="110"/>
      <c r="AM195" s="110"/>
      <c r="AN195" s="110"/>
      <c r="AO195" s="110"/>
      <c r="AP195" s="110"/>
      <c r="AQ195" s="110"/>
      <c r="AW195" s="110"/>
      <c r="AX195" s="110"/>
      <c r="AY195" s="110"/>
      <c r="AZ195" s="110"/>
      <c r="BA195" s="110"/>
      <c r="BB195" s="110"/>
      <c r="BC195" s="110"/>
      <c r="BD195" s="110"/>
      <c r="BE195" s="110"/>
      <c r="BF195" s="110"/>
      <c r="BG195" s="110"/>
      <c r="BH195" s="110"/>
      <c r="BI195" s="110"/>
      <c r="BJ195" s="110"/>
      <c r="BK195" s="110"/>
      <c r="BL195" s="110"/>
      <c r="BM195" s="110"/>
      <c r="BN195" s="110"/>
      <c r="BO195" s="110"/>
      <c r="BP195" s="110"/>
      <c r="BQ195" s="110"/>
      <c r="BR195" s="110"/>
      <c r="BS195" s="110"/>
      <c r="BT195" s="110"/>
    </row>
    <row r="1048432" spans="94:94" ht="39" customHeight="1" x14ac:dyDescent="0.25">
      <c r="CP1048432" s="117"/>
    </row>
    <row r="1048433" spans="94:94" ht="39" customHeight="1" x14ac:dyDescent="0.25">
      <c r="CP1048433" s="118"/>
    </row>
    <row r="1048434" spans="94:94" ht="39" customHeight="1" x14ac:dyDescent="0.25">
      <c r="CP1048434" s="118"/>
    </row>
    <row r="1048435" spans="94:94" ht="39" customHeight="1" x14ac:dyDescent="0.25">
      <c r="CP1048435" s="118"/>
    </row>
    <row r="1048436" spans="94:94" ht="39" customHeight="1" x14ac:dyDescent="0.25">
      <c r="CP1048436" s="118"/>
    </row>
    <row r="1048437" spans="94:94" ht="39" customHeight="1" x14ac:dyDescent="0.25">
      <c r="CP1048437" s="119"/>
    </row>
    <row r="1048438" spans="94:94" ht="39" customHeight="1" x14ac:dyDescent="0.25">
      <c r="CP1048438" s="119"/>
    </row>
    <row r="1048439" spans="94:94" ht="39" customHeight="1" x14ac:dyDescent="0.25">
      <c r="CP1048439" s="119"/>
    </row>
    <row r="1048440" spans="94:94" ht="39" customHeight="1" x14ac:dyDescent="0.25">
      <c r="CP1048440" s="119"/>
    </row>
    <row r="1048441" spans="94:94" ht="39" customHeight="1" x14ac:dyDescent="0.25">
      <c r="CP1048441" s="119"/>
    </row>
    <row r="1048442" spans="94:94" ht="39" customHeight="1" x14ac:dyDescent="0.25">
      <c r="CP1048442" s="119"/>
    </row>
    <row r="1048443" spans="94:94" ht="39" customHeight="1" x14ac:dyDescent="0.25">
      <c r="CP1048443" s="119"/>
    </row>
    <row r="1048444" spans="94:94" ht="39" customHeight="1" x14ac:dyDescent="0.25">
      <c r="CP1048444" s="119"/>
    </row>
    <row r="1048445" spans="94:94" ht="39" customHeight="1" x14ac:dyDescent="0.25">
      <c r="CP1048445" s="119"/>
    </row>
    <row r="1048446" spans="94:94" ht="39" customHeight="1" x14ac:dyDescent="0.25">
      <c r="CP1048446" s="119"/>
    </row>
    <row r="1048447" spans="94:94" ht="39" customHeight="1" x14ac:dyDescent="0.25">
      <c r="CP1048447" s="119"/>
    </row>
    <row r="1048448" spans="94:94" ht="39" customHeight="1" x14ac:dyDescent="0.25">
      <c r="CP1048448" s="119"/>
    </row>
  </sheetData>
  <sortState xmlns:xlrd2="http://schemas.microsoft.com/office/spreadsheetml/2017/richdata2" ref="A5:DP67">
    <sortCondition ref="CH5:CH67"/>
  </sortState>
  <phoneticPr fontId="29" type="noConversion"/>
  <dataValidations count="14">
    <dataValidation type="list" allowBlank="1" showInputMessage="1" showErrorMessage="1" sqref="Z83 Z8 Z65:Z78 Z80 Z85 Z37 Z87:Z89 Z39:Z55 Z91 Z25:Z33" xr:uid="{08C82377-A43B-49C6-AE4E-670671A42186}">
      <formula1>"CRECIENTE,DECRECIENTE,SUMA,CONSTANTE"</formula1>
    </dataValidation>
    <dataValidation allowBlank="1" showInputMessage="1" showErrorMessage="1" promptTitle="PROCESO" prompt="Identifica el nombre del proceso al cual pertenece el indicador." sqref="B3:E3 J3:K3 G3 CQ3" xr:uid="{6743910E-7580-4EAA-8E9A-B2790938C20A}"/>
    <dataValidation allowBlank="1" showInputMessage="1" showErrorMessage="1" promptTitle="NOMBRE DEL INDICADOR" prompt="Nombre que identifica al indicador." sqref="F3 H3" xr:uid="{FBB5FE10-D42C-481E-AE26-1575CAA746D7}"/>
    <dataValidation allowBlank="1" showInputMessage="1" showErrorMessage="1" promptTitle="FORMULA DEL INDICADOR" prompt="Fórmula matemática utilizada para el cálculo del indicador._x000a_" sqref="P3" xr:uid="{392F8853-5F94-4179-B882-24413BDDCD87}"/>
    <dataValidation allowBlank="1" showInputMessage="1" showErrorMessage="1" promptTitle="UNIDAD DE MEDIDA" prompt="Magnitud referencia para la medición. Ejemplo: Porcentaje, Número de asesorías." sqref="Q3" xr:uid="{B9D1C6A2-44EF-4BAB-9ACB-BC07D14961B5}"/>
    <dataValidation allowBlank="1" showInputMessage="1" showErrorMessage="1" promptTitle="NOMBRE VARIABLE" prompt="Nombre de las variables a utilizar, puede ser una sola_x000a_variable o dos dependiendo del indicador" sqref="R3:U3" xr:uid="{278729E3-C4C1-467B-B278-036E84B263C5}"/>
    <dataValidation allowBlank="1" showInputMessage="1" showErrorMessage="1" promptTitle="PRODUCTO/SERVICIO" prompt="Identifica el nombre del producto o servicio." sqref="I3" xr:uid="{051A3C8C-3392-48BE-9F77-7F23FFF067A8}"/>
    <dataValidation type="list" allowBlank="1" showInputMessage="1" showErrorMessage="1" sqref="Z4:Z5 Z84 Z81:Z82 Z9:Z24" xr:uid="{83CEA63B-7D48-4964-AFD4-D20704E822B8}">
      <formula1>"Creciente,Decreciente,Suma,Constante"</formula1>
    </dataValidation>
    <dataValidation type="list" allowBlank="1" showInputMessage="1" showErrorMessage="1" sqref="AA30 AA32:AA33 AA4:AA7 AA70:AA73 AA81:AA82 AA84:AA85 AA9:AA28" xr:uid="{81085C23-8522-4FC0-8A7E-E0A5580C3C32}">
      <formula1>"Mensual,Trimestral,Semestral,Anual"</formula1>
    </dataValidation>
    <dataValidation type="list" allowBlank="1" showInputMessage="1" showErrorMessage="1" sqref="M37 L4:L5 L8:L14" xr:uid="{96F49937-3040-4FF1-AD04-579737CDFBA7}">
      <formula1>#REF!</formula1>
    </dataValidation>
    <dataValidation type="textLength" allowBlank="1" showInputMessage="1" showErrorMessage="1" errorTitle="Entrada no válida" error="Escriba un texto " promptTitle="Cualquier contenido" sqref="AO86:AO91 AO4:AO39 AO43:AO64" xr:uid="{2BD241BC-75B2-481D-A904-96368EF90315}">
      <formula1>0</formula1>
      <formula2>4000</formula2>
    </dataValidation>
    <dataValidation type="list" allowBlank="1" showInputMessage="1" showErrorMessage="1" sqref="CI68:CI91" xr:uid="{F55E19AC-AFF7-44C7-A75E-C5671B9D8B21}">
      <formula1>"FINALIZADO, CUMPLIDO,"</formula1>
    </dataValidation>
    <dataValidation type="list" allowBlank="1" showInputMessage="1" showErrorMessage="1" sqref="AB4:AB91" xr:uid="{B077FA0A-E9BE-40D8-B7F2-87AEC7B7AD5B}">
      <formula1>"Eficiencia,Eficacia,Efectividad"</formula1>
    </dataValidation>
    <dataValidation type="list" allowBlank="1" showInputMessage="1" showErrorMessage="1" sqref="CI4:CI67" xr:uid="{B80C1AFA-0D25-418A-AAA9-6F3CBA03D787}">
      <formula1>"FINALIZADO, EN CUMPLIMIENTO, INCUMPLIMIENTO"</formula1>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9AF0A-D1AC-4290-BC6A-3639E1777624}">
  <dimension ref="A1:AT1048075"/>
  <sheetViews>
    <sheetView workbookViewId="0">
      <pane xSplit="2" ySplit="3" topLeftCell="C12" activePane="bottomRight" state="frozen"/>
      <selection pane="topRight" activeCell="B1" sqref="B1"/>
      <selection pane="bottomLeft" activeCell="A3" sqref="A3"/>
      <selection pane="bottomRight" activeCell="H12" sqref="H12"/>
    </sheetView>
  </sheetViews>
  <sheetFormatPr baseColWidth="10" defaultColWidth="11.42578125" defaultRowHeight="15" x14ac:dyDescent="0.25"/>
  <cols>
    <col min="1" max="1" width="11.5703125" style="291"/>
    <col min="2" max="2" width="38" style="291" customWidth="1"/>
    <col min="4" max="4" width="11.5703125" style="77"/>
    <col min="8" max="8" width="11.5703125" style="77"/>
    <col min="12" max="12" width="11.5703125" style="77"/>
    <col min="13" max="13" width="11.5703125" style="155"/>
    <col min="14" max="14" width="11.5703125" style="77"/>
    <col min="16" max="16" width="11.5703125" style="77"/>
  </cols>
  <sheetData>
    <row r="1" spans="1:46" x14ac:dyDescent="0.25">
      <c r="C1" s="589" t="s">
        <v>141</v>
      </c>
      <c r="D1" s="589"/>
      <c r="E1" s="589"/>
      <c r="F1" s="589"/>
      <c r="G1" s="589" t="s">
        <v>142</v>
      </c>
      <c r="H1" s="589"/>
      <c r="I1" s="589"/>
      <c r="J1" s="589"/>
      <c r="K1" s="589" t="s">
        <v>62</v>
      </c>
      <c r="L1" s="589"/>
      <c r="M1" s="589"/>
      <c r="N1" s="590"/>
      <c r="O1" s="591" t="s">
        <v>143</v>
      </c>
      <c r="P1" s="592"/>
      <c r="Q1" s="592"/>
      <c r="R1" s="593"/>
      <c r="S1" s="586" t="s">
        <v>144</v>
      </c>
      <c r="T1" s="587"/>
      <c r="U1" s="587"/>
      <c r="V1" s="588"/>
      <c r="W1" s="586" t="s">
        <v>145</v>
      </c>
      <c r="X1" s="587"/>
      <c r="Y1" s="587"/>
      <c r="Z1" s="588"/>
      <c r="AA1" s="586" t="s">
        <v>146</v>
      </c>
      <c r="AB1" s="587"/>
      <c r="AC1" s="587"/>
      <c r="AD1" s="588"/>
      <c r="AE1" s="586" t="s">
        <v>147</v>
      </c>
      <c r="AF1" s="587"/>
      <c r="AG1" s="587"/>
      <c r="AH1" s="588"/>
      <c r="AI1" s="586" t="s">
        <v>148</v>
      </c>
      <c r="AJ1" s="587"/>
      <c r="AK1" s="587"/>
      <c r="AL1" s="588"/>
      <c r="AM1" s="586" t="s">
        <v>149</v>
      </c>
      <c r="AN1" s="587"/>
      <c r="AO1" s="587"/>
      <c r="AP1" s="588"/>
      <c r="AQ1" s="586" t="s">
        <v>150</v>
      </c>
      <c r="AR1" s="587"/>
      <c r="AS1" s="587"/>
      <c r="AT1" s="588"/>
    </row>
    <row r="2" spans="1:46" x14ac:dyDescent="0.25">
      <c r="C2" s="304" t="s">
        <v>64</v>
      </c>
      <c r="D2" s="304" t="s">
        <v>65</v>
      </c>
      <c r="E2" s="304" t="s">
        <v>64</v>
      </c>
      <c r="F2" s="304" t="s">
        <v>65</v>
      </c>
      <c r="G2" s="304" t="s">
        <v>64</v>
      </c>
      <c r="H2" s="304" t="s">
        <v>65</v>
      </c>
      <c r="I2" s="304" t="s">
        <v>64</v>
      </c>
      <c r="J2" s="304" t="s">
        <v>65</v>
      </c>
      <c r="K2" s="304" t="s">
        <v>64</v>
      </c>
      <c r="L2" s="304" t="s">
        <v>65</v>
      </c>
      <c r="M2" s="304" t="s">
        <v>64</v>
      </c>
      <c r="N2" s="304" t="s">
        <v>65</v>
      </c>
      <c r="O2" s="310" t="s">
        <v>64</v>
      </c>
      <c r="P2" s="304" t="s">
        <v>65</v>
      </c>
      <c r="Q2" s="304" t="s">
        <v>64</v>
      </c>
      <c r="R2" s="311" t="s">
        <v>65</v>
      </c>
      <c r="S2" s="310" t="s">
        <v>64</v>
      </c>
      <c r="T2" s="304" t="s">
        <v>65</v>
      </c>
      <c r="U2" s="304" t="s">
        <v>64</v>
      </c>
      <c r="V2" s="311" t="s">
        <v>65</v>
      </c>
      <c r="W2" s="310" t="s">
        <v>64</v>
      </c>
      <c r="X2" s="304" t="s">
        <v>65</v>
      </c>
      <c r="Y2" s="304" t="s">
        <v>64</v>
      </c>
      <c r="Z2" s="311" t="s">
        <v>65</v>
      </c>
      <c r="AA2" s="310" t="s">
        <v>64</v>
      </c>
      <c r="AB2" s="304" t="s">
        <v>65</v>
      </c>
      <c r="AC2" s="304" t="s">
        <v>64</v>
      </c>
      <c r="AD2" s="311" t="s">
        <v>65</v>
      </c>
      <c r="AE2" s="310" t="s">
        <v>64</v>
      </c>
      <c r="AF2" s="304" t="s">
        <v>65</v>
      </c>
      <c r="AG2" s="304" t="s">
        <v>64</v>
      </c>
      <c r="AH2" s="311" t="s">
        <v>65</v>
      </c>
      <c r="AI2" s="310" t="s">
        <v>64</v>
      </c>
      <c r="AJ2" s="304" t="s">
        <v>65</v>
      </c>
      <c r="AK2" s="304" t="s">
        <v>64</v>
      </c>
      <c r="AL2" s="311" t="s">
        <v>65</v>
      </c>
      <c r="AM2" s="310" t="s">
        <v>64</v>
      </c>
      <c r="AN2" s="304" t="s">
        <v>65</v>
      </c>
      <c r="AO2" s="304" t="s">
        <v>64</v>
      </c>
      <c r="AP2" s="311" t="s">
        <v>65</v>
      </c>
      <c r="AQ2" s="310" t="s">
        <v>64</v>
      </c>
      <c r="AR2" s="304" t="s">
        <v>65</v>
      </c>
      <c r="AS2" s="304" t="s">
        <v>64</v>
      </c>
      <c r="AT2" s="311" t="s">
        <v>65</v>
      </c>
    </row>
    <row r="3" spans="1:46" x14ac:dyDescent="0.25">
      <c r="A3" s="86" t="s">
        <v>152</v>
      </c>
      <c r="B3" s="79" t="s">
        <v>86</v>
      </c>
      <c r="C3" s="289">
        <v>2022</v>
      </c>
      <c r="D3" s="289" t="s">
        <v>104</v>
      </c>
      <c r="E3" s="290">
        <v>2022</v>
      </c>
      <c r="F3" s="290" t="s">
        <v>109</v>
      </c>
      <c r="G3" s="289">
        <v>2022</v>
      </c>
      <c r="H3" s="289" t="s">
        <v>104</v>
      </c>
      <c r="I3" s="290">
        <v>2022</v>
      </c>
      <c r="J3" s="290" t="s">
        <v>109</v>
      </c>
      <c r="K3" s="289">
        <v>2022</v>
      </c>
      <c r="L3" s="289" t="s">
        <v>104</v>
      </c>
      <c r="M3" s="290">
        <v>2022</v>
      </c>
      <c r="N3" s="307" t="s">
        <v>109</v>
      </c>
      <c r="O3" s="312">
        <v>2022</v>
      </c>
      <c r="P3" s="289" t="s">
        <v>104</v>
      </c>
      <c r="Q3" s="290">
        <v>2022</v>
      </c>
      <c r="R3" s="313" t="s">
        <v>109</v>
      </c>
      <c r="S3" s="312">
        <v>2022</v>
      </c>
      <c r="T3" s="289" t="s">
        <v>104</v>
      </c>
      <c r="U3" s="290">
        <v>2022</v>
      </c>
      <c r="V3" s="313" t="s">
        <v>109</v>
      </c>
      <c r="W3" s="312">
        <v>2022</v>
      </c>
      <c r="X3" s="289" t="s">
        <v>104</v>
      </c>
      <c r="Y3" s="290">
        <v>2022</v>
      </c>
      <c r="Z3" s="313" t="s">
        <v>109</v>
      </c>
      <c r="AA3" s="312">
        <v>2022</v>
      </c>
      <c r="AB3" s="289" t="s">
        <v>104</v>
      </c>
      <c r="AC3" s="290">
        <v>2022</v>
      </c>
      <c r="AD3" s="313" t="s">
        <v>109</v>
      </c>
      <c r="AE3" s="312">
        <v>2022</v>
      </c>
      <c r="AF3" s="289" t="s">
        <v>104</v>
      </c>
      <c r="AG3" s="290">
        <v>2022</v>
      </c>
      <c r="AH3" s="313" t="s">
        <v>109</v>
      </c>
      <c r="AI3" s="312">
        <v>2022</v>
      </c>
      <c r="AJ3" s="289" t="s">
        <v>104</v>
      </c>
      <c r="AK3" s="290">
        <v>2022</v>
      </c>
      <c r="AL3" s="313" t="s">
        <v>109</v>
      </c>
      <c r="AM3" s="312">
        <v>2022</v>
      </c>
      <c r="AN3" s="289" t="s">
        <v>104</v>
      </c>
      <c r="AO3" s="290">
        <v>2022</v>
      </c>
      <c r="AP3" s="313" t="s">
        <v>109</v>
      </c>
      <c r="AQ3" s="312">
        <v>2022</v>
      </c>
      <c r="AR3" s="289" t="s">
        <v>104</v>
      </c>
      <c r="AS3" s="290">
        <v>2022</v>
      </c>
      <c r="AT3" s="313" t="s">
        <v>109</v>
      </c>
    </row>
    <row r="4" spans="1:46" ht="27" x14ac:dyDescent="0.25">
      <c r="A4" s="93">
        <v>1</v>
      </c>
      <c r="B4" s="303" t="s">
        <v>1057</v>
      </c>
      <c r="C4" s="191"/>
      <c r="D4" s="305"/>
      <c r="E4" s="191"/>
      <c r="F4" s="191"/>
      <c r="G4" s="191"/>
      <c r="H4" s="305"/>
      <c r="I4" s="191"/>
      <c r="J4" s="191"/>
      <c r="K4" s="191"/>
      <c r="L4" s="305"/>
      <c r="M4" s="169"/>
      <c r="N4" s="330"/>
      <c r="O4" s="314"/>
      <c r="P4" s="305"/>
      <c r="Q4" s="171"/>
      <c r="R4" s="315"/>
      <c r="S4" s="314"/>
      <c r="T4" s="305"/>
      <c r="U4" s="171"/>
      <c r="V4" s="315"/>
      <c r="W4" s="314"/>
      <c r="X4" s="305"/>
      <c r="Y4" s="171"/>
      <c r="Z4" s="315"/>
      <c r="AA4" s="314"/>
      <c r="AB4" s="305"/>
      <c r="AC4" s="171"/>
      <c r="AD4" s="315"/>
      <c r="AE4" s="314"/>
      <c r="AF4" s="305"/>
      <c r="AG4" s="171"/>
      <c r="AH4" s="315"/>
      <c r="AI4" s="314"/>
      <c r="AJ4" s="305"/>
      <c r="AK4" s="171"/>
      <c r="AL4" s="315"/>
      <c r="AM4" s="314"/>
      <c r="AN4" s="305"/>
      <c r="AO4" s="171"/>
      <c r="AP4" s="336"/>
      <c r="AQ4" s="314"/>
      <c r="AR4" s="305"/>
      <c r="AS4" s="171"/>
      <c r="AT4" s="315"/>
    </row>
    <row r="5" spans="1:46" ht="40.5" x14ac:dyDescent="0.25">
      <c r="A5" s="93">
        <v>2</v>
      </c>
      <c r="B5" s="293" t="s">
        <v>203</v>
      </c>
      <c r="C5" s="191"/>
      <c r="D5" s="305"/>
      <c r="E5" s="191"/>
      <c r="F5" s="191"/>
      <c r="G5" s="191"/>
      <c r="H5" s="305"/>
      <c r="I5" s="191"/>
      <c r="J5" s="191"/>
      <c r="K5" s="191"/>
      <c r="L5" s="305"/>
      <c r="M5" s="169"/>
      <c r="N5" s="331"/>
      <c r="O5" s="314"/>
      <c r="P5" s="305"/>
      <c r="Q5" s="171"/>
      <c r="R5" s="316"/>
      <c r="S5" s="314"/>
      <c r="T5" s="305"/>
      <c r="U5" s="171"/>
      <c r="V5" s="316"/>
      <c r="W5" s="314"/>
      <c r="X5" s="305"/>
      <c r="Y5" s="171"/>
      <c r="Z5" s="316"/>
      <c r="AA5" s="314"/>
      <c r="AB5" s="305"/>
      <c r="AC5" s="171"/>
      <c r="AD5" s="316"/>
      <c r="AE5" s="314"/>
      <c r="AF5" s="305"/>
      <c r="AG5" s="171"/>
      <c r="AH5" s="316"/>
      <c r="AI5" s="314"/>
      <c r="AJ5" s="305"/>
      <c r="AK5" s="171"/>
      <c r="AL5" s="316"/>
      <c r="AM5" s="314"/>
      <c r="AN5" s="305"/>
      <c r="AO5" s="171"/>
      <c r="AP5" s="316"/>
      <c r="AQ5" s="314"/>
      <c r="AR5" s="305"/>
      <c r="AS5" s="171"/>
      <c r="AT5" s="316"/>
    </row>
    <row r="6" spans="1:46" ht="40.5" x14ac:dyDescent="0.25">
      <c r="A6" s="93">
        <v>3</v>
      </c>
      <c r="B6" s="293" t="s">
        <v>224</v>
      </c>
      <c r="C6" s="191"/>
      <c r="D6" s="305"/>
      <c r="E6" s="191"/>
      <c r="F6" s="191"/>
      <c r="G6" s="191"/>
      <c r="H6" s="305"/>
      <c r="I6" s="191"/>
      <c r="J6" s="191"/>
      <c r="K6" s="191"/>
      <c r="L6" s="305"/>
      <c r="M6" s="169"/>
      <c r="N6" s="331"/>
      <c r="O6" s="314"/>
      <c r="P6" s="305"/>
      <c r="Q6" s="171"/>
      <c r="R6" s="316"/>
      <c r="S6" s="314"/>
      <c r="T6" s="305"/>
      <c r="U6" s="171"/>
      <c r="V6" s="316"/>
      <c r="W6" s="314"/>
      <c r="X6" s="305"/>
      <c r="Y6" s="171"/>
      <c r="Z6" s="316"/>
      <c r="AA6" s="314"/>
      <c r="AB6" s="305"/>
      <c r="AC6" s="171"/>
      <c r="AD6" s="316"/>
      <c r="AE6" s="314"/>
      <c r="AF6" s="305"/>
      <c r="AG6" s="171"/>
      <c r="AH6" s="316"/>
      <c r="AI6" s="314"/>
      <c r="AJ6" s="305"/>
      <c r="AK6" s="171"/>
      <c r="AL6" s="316"/>
      <c r="AM6" s="314"/>
      <c r="AN6" s="305"/>
      <c r="AO6" s="171"/>
      <c r="AP6" s="316"/>
      <c r="AQ6" s="314"/>
      <c r="AR6" s="305"/>
      <c r="AS6" s="171"/>
      <c r="AT6" s="316"/>
    </row>
    <row r="7" spans="1:46" ht="27" x14ac:dyDescent="0.25">
      <c r="A7" s="93">
        <v>4</v>
      </c>
      <c r="B7" s="293" t="s">
        <v>230</v>
      </c>
      <c r="C7" s="191"/>
      <c r="D7" s="305"/>
      <c r="E7" s="191"/>
      <c r="F7" s="191"/>
      <c r="G7" s="191"/>
      <c r="H7" s="305"/>
      <c r="I7" s="191"/>
      <c r="J7" s="191"/>
      <c r="K7" s="191"/>
      <c r="L7" s="305"/>
      <c r="M7" s="169"/>
      <c r="N7" s="331"/>
      <c r="O7" s="314"/>
      <c r="P7" s="305"/>
      <c r="Q7" s="171"/>
      <c r="R7" s="316"/>
      <c r="S7" s="314"/>
      <c r="T7" s="305"/>
      <c r="U7" s="171"/>
      <c r="V7" s="316"/>
      <c r="W7" s="314"/>
      <c r="X7" s="305"/>
      <c r="Y7" s="171"/>
      <c r="Z7" s="316"/>
      <c r="AA7" s="314"/>
      <c r="AB7" s="305"/>
      <c r="AC7" s="171"/>
      <c r="AD7" s="316"/>
      <c r="AE7" s="314"/>
      <c r="AF7" s="305"/>
      <c r="AG7" s="171"/>
      <c r="AH7" s="316"/>
      <c r="AI7" s="314"/>
      <c r="AJ7" s="305"/>
      <c r="AK7" s="171"/>
      <c r="AL7" s="316"/>
      <c r="AM7" s="314"/>
      <c r="AN7" s="305"/>
      <c r="AO7" s="171"/>
      <c r="AP7" s="316"/>
      <c r="AQ7" s="314"/>
      <c r="AR7" s="305"/>
      <c r="AS7" s="171"/>
      <c r="AT7" s="316"/>
    </row>
    <row r="8" spans="1:46" ht="40.5" x14ac:dyDescent="0.25">
      <c r="A8" s="93">
        <v>5</v>
      </c>
      <c r="B8" s="293" t="s">
        <v>237</v>
      </c>
      <c r="C8" s="191"/>
      <c r="D8" s="305"/>
      <c r="E8" s="191"/>
      <c r="F8" s="191"/>
      <c r="G8" s="191"/>
      <c r="H8" s="305"/>
      <c r="I8" s="191"/>
      <c r="J8" s="191"/>
      <c r="K8" s="191"/>
      <c r="L8" s="305"/>
      <c r="M8" s="169"/>
      <c r="N8" s="331"/>
      <c r="O8" s="191"/>
      <c r="P8" s="305"/>
      <c r="Q8" s="171"/>
      <c r="R8" s="316"/>
      <c r="S8" s="191"/>
      <c r="T8" s="305"/>
      <c r="U8" s="171"/>
      <c r="V8" s="316"/>
      <c r="W8" s="191"/>
      <c r="X8" s="305"/>
      <c r="Y8" s="171"/>
      <c r="Z8" s="316"/>
      <c r="AA8" s="191"/>
      <c r="AB8" s="305"/>
      <c r="AC8" s="171"/>
      <c r="AD8" s="316"/>
      <c r="AE8" s="191"/>
      <c r="AF8" s="305"/>
      <c r="AG8" s="171"/>
      <c r="AH8" s="316"/>
      <c r="AI8" s="191"/>
      <c r="AJ8" s="305"/>
      <c r="AK8" s="171"/>
      <c r="AL8" s="316"/>
      <c r="AM8" s="191"/>
      <c r="AN8" s="305"/>
      <c r="AO8" s="171"/>
      <c r="AP8" s="316"/>
      <c r="AQ8" s="191"/>
      <c r="AR8" s="305"/>
      <c r="AS8" s="171"/>
      <c r="AT8" s="316"/>
    </row>
    <row r="9" spans="1:46" ht="54" x14ac:dyDescent="0.25">
      <c r="A9" s="93">
        <v>6</v>
      </c>
      <c r="B9" s="293" t="s">
        <v>244</v>
      </c>
      <c r="C9" s="191"/>
      <c r="D9" s="305"/>
      <c r="E9" s="191"/>
      <c r="F9" s="191"/>
      <c r="G9" s="191"/>
      <c r="H9" s="305"/>
      <c r="I9" s="191"/>
      <c r="J9" s="191"/>
      <c r="K9" s="191"/>
      <c r="L9" s="305"/>
      <c r="M9" s="169"/>
      <c r="N9" s="331"/>
      <c r="O9" s="314"/>
      <c r="P9" s="305"/>
      <c r="Q9" s="171"/>
      <c r="R9" s="316"/>
      <c r="S9" s="314"/>
      <c r="T9" s="305"/>
      <c r="U9" s="171"/>
      <c r="V9" s="316"/>
      <c r="W9" s="314"/>
      <c r="X9" s="305"/>
      <c r="Y9" s="171"/>
      <c r="Z9" s="316"/>
      <c r="AA9" s="314"/>
      <c r="AB9" s="305"/>
      <c r="AC9" s="171"/>
      <c r="AD9" s="316"/>
      <c r="AE9" s="314"/>
      <c r="AF9" s="305"/>
      <c r="AG9" s="171"/>
      <c r="AH9" s="316"/>
      <c r="AI9" s="314"/>
      <c r="AJ9" s="305"/>
      <c r="AK9" s="171"/>
      <c r="AL9" s="316"/>
      <c r="AM9" s="314"/>
      <c r="AN9" s="305"/>
      <c r="AO9" s="171"/>
      <c r="AP9" s="316"/>
      <c r="AQ9" s="314"/>
      <c r="AR9" s="305"/>
      <c r="AS9" s="171"/>
      <c r="AT9" s="316"/>
    </row>
    <row r="10" spans="1:46" ht="27" x14ac:dyDescent="0.25">
      <c r="A10" s="93">
        <v>7</v>
      </c>
      <c r="B10" s="303" t="s">
        <v>251</v>
      </c>
      <c r="C10" s="176"/>
      <c r="D10" s="305"/>
      <c r="E10" s="176"/>
      <c r="F10" s="176"/>
      <c r="G10" s="176"/>
      <c r="H10" s="305"/>
      <c r="I10" s="176"/>
      <c r="J10" s="176"/>
      <c r="K10" s="176"/>
      <c r="L10" s="305"/>
      <c r="M10" s="169"/>
      <c r="N10" s="331"/>
      <c r="O10" s="317"/>
      <c r="P10" s="305"/>
      <c r="Q10" s="171"/>
      <c r="R10" s="316"/>
      <c r="S10" s="317"/>
      <c r="T10" s="305"/>
      <c r="U10" s="171"/>
      <c r="V10" s="316"/>
      <c r="W10" s="317"/>
      <c r="X10" s="305"/>
      <c r="Y10" s="171"/>
      <c r="Z10" s="316"/>
      <c r="AA10" s="317"/>
      <c r="AB10" s="305"/>
      <c r="AC10" s="171"/>
      <c r="AD10" s="316"/>
      <c r="AE10" s="317"/>
      <c r="AF10" s="305"/>
      <c r="AG10" s="171"/>
      <c r="AH10" s="316"/>
      <c r="AI10" s="317"/>
      <c r="AJ10" s="305"/>
      <c r="AK10" s="171"/>
      <c r="AL10" s="316"/>
      <c r="AM10" s="317"/>
      <c r="AN10" s="305"/>
      <c r="AO10" s="171"/>
      <c r="AP10" s="337"/>
      <c r="AQ10" s="317"/>
      <c r="AR10" s="305"/>
      <c r="AS10" s="171"/>
      <c r="AT10" s="316"/>
    </row>
    <row r="11" spans="1:46" ht="54" x14ac:dyDescent="0.25">
      <c r="A11" s="89">
        <v>8</v>
      </c>
      <c r="B11" s="292" t="s">
        <v>266</v>
      </c>
      <c r="C11" s="187"/>
      <c r="D11" s="305"/>
      <c r="E11" s="187"/>
      <c r="F11" s="187"/>
      <c r="G11" s="187"/>
      <c r="H11" s="305"/>
      <c r="I11" s="187"/>
      <c r="J11" s="187"/>
      <c r="K11" s="187"/>
      <c r="L11" s="305"/>
      <c r="M11" s="169"/>
      <c r="N11" s="331"/>
      <c r="O11" s="318"/>
      <c r="P11" s="305"/>
      <c r="Q11" s="171"/>
      <c r="R11" s="316"/>
      <c r="S11" s="318"/>
      <c r="T11" s="305"/>
      <c r="U11" s="171"/>
      <c r="V11" s="316"/>
      <c r="W11" s="318"/>
      <c r="X11" s="305"/>
      <c r="Y11" s="171"/>
      <c r="Z11" s="316"/>
      <c r="AA11" s="318"/>
      <c r="AB11" s="305"/>
      <c r="AC11" s="171"/>
      <c r="AD11" s="316"/>
      <c r="AE11" s="318"/>
      <c r="AF11" s="305"/>
      <c r="AG11" s="171"/>
      <c r="AH11" s="316"/>
      <c r="AI11" s="318"/>
      <c r="AJ11" s="305"/>
      <c r="AK11" s="171"/>
      <c r="AL11" s="316"/>
      <c r="AM11" s="318"/>
      <c r="AN11" s="305"/>
      <c r="AO11" s="171"/>
      <c r="AP11" s="316"/>
      <c r="AQ11" s="318"/>
      <c r="AR11" s="305"/>
      <c r="AS11" s="171"/>
      <c r="AT11" s="316"/>
    </row>
    <row r="12" spans="1:46" ht="54" x14ac:dyDescent="0.25">
      <c r="A12" s="93">
        <v>9</v>
      </c>
      <c r="B12" s="293" t="s">
        <v>280</v>
      </c>
      <c r="C12" s="191"/>
      <c r="D12" s="305"/>
      <c r="E12" s="191"/>
      <c r="F12" s="191"/>
      <c r="G12" s="191"/>
      <c r="H12" s="305"/>
      <c r="I12" s="191"/>
      <c r="J12" s="191"/>
      <c r="K12" s="191"/>
      <c r="L12" s="305"/>
      <c r="M12" s="169"/>
      <c r="N12" s="331"/>
      <c r="O12" s="314"/>
      <c r="P12" s="305"/>
      <c r="Q12" s="171"/>
      <c r="R12" s="316"/>
      <c r="S12" s="314"/>
      <c r="T12" s="305"/>
      <c r="U12" s="171"/>
      <c r="V12" s="316"/>
      <c r="W12" s="314"/>
      <c r="X12" s="305"/>
      <c r="Y12" s="171"/>
      <c r="Z12" s="316"/>
      <c r="AA12" s="314"/>
      <c r="AB12" s="305"/>
      <c r="AC12" s="171"/>
      <c r="AD12" s="316"/>
      <c r="AE12" s="314"/>
      <c r="AF12" s="305"/>
      <c r="AG12" s="171"/>
      <c r="AH12" s="316"/>
      <c r="AI12" s="314"/>
      <c r="AJ12" s="305"/>
      <c r="AK12" s="171"/>
      <c r="AL12" s="316"/>
      <c r="AM12" s="314"/>
      <c r="AN12" s="305"/>
      <c r="AO12" s="171"/>
      <c r="AP12" s="316"/>
      <c r="AQ12" s="314"/>
      <c r="AR12" s="305"/>
      <c r="AS12" s="171"/>
      <c r="AT12" s="316"/>
    </row>
    <row r="13" spans="1:46" ht="27" x14ac:dyDescent="0.25">
      <c r="A13" s="93">
        <v>10</v>
      </c>
      <c r="B13" s="293" t="s">
        <v>292</v>
      </c>
      <c r="C13" s="191"/>
      <c r="D13" s="305"/>
      <c r="E13" s="191"/>
      <c r="F13" s="191"/>
      <c r="G13" s="191"/>
      <c r="H13" s="305"/>
      <c r="I13" s="191"/>
      <c r="J13" s="191"/>
      <c r="K13" s="191"/>
      <c r="L13" s="305"/>
      <c r="M13" s="169"/>
      <c r="N13" s="331"/>
      <c r="O13" s="314"/>
      <c r="P13" s="305"/>
      <c r="Q13" s="171"/>
      <c r="R13" s="316"/>
      <c r="S13" s="314"/>
      <c r="T13" s="305"/>
      <c r="U13" s="171"/>
      <c r="V13" s="316"/>
      <c r="W13" s="314"/>
      <c r="X13" s="305"/>
      <c r="Y13" s="171"/>
      <c r="Z13" s="316"/>
      <c r="AA13" s="314"/>
      <c r="AB13" s="305"/>
      <c r="AC13" s="171"/>
      <c r="AD13" s="316"/>
      <c r="AE13" s="314"/>
      <c r="AF13" s="305"/>
      <c r="AG13" s="171"/>
      <c r="AH13" s="316"/>
      <c r="AI13" s="314"/>
      <c r="AJ13" s="305"/>
      <c r="AK13" s="171"/>
      <c r="AL13" s="316"/>
      <c r="AM13" s="314"/>
      <c r="AN13" s="305"/>
      <c r="AO13" s="171"/>
      <c r="AP13" s="316"/>
      <c r="AQ13" s="314"/>
      <c r="AR13" s="305"/>
      <c r="AS13" s="171"/>
      <c r="AT13" s="316"/>
    </row>
    <row r="14" spans="1:46" ht="27" x14ac:dyDescent="0.25">
      <c r="A14" s="93">
        <v>11</v>
      </c>
      <c r="B14" s="293" t="s">
        <v>306</v>
      </c>
      <c r="C14" s="191"/>
      <c r="D14" s="305"/>
      <c r="E14" s="191"/>
      <c r="F14" s="191"/>
      <c r="G14" s="191"/>
      <c r="H14" s="305"/>
      <c r="I14" s="191"/>
      <c r="J14" s="191"/>
      <c r="K14" s="191"/>
      <c r="L14" s="305"/>
      <c r="M14" s="169"/>
      <c r="N14" s="331"/>
      <c r="O14" s="314"/>
      <c r="P14" s="305"/>
      <c r="Q14" s="171"/>
      <c r="R14" s="316"/>
      <c r="S14" s="314"/>
      <c r="T14" s="305"/>
      <c r="U14" s="171"/>
      <c r="V14" s="316"/>
      <c r="W14" s="314"/>
      <c r="X14" s="305"/>
      <c r="Y14" s="171"/>
      <c r="Z14" s="316"/>
      <c r="AA14" s="314"/>
      <c r="AB14" s="305"/>
      <c r="AC14" s="171"/>
      <c r="AD14" s="316"/>
      <c r="AE14" s="314"/>
      <c r="AF14" s="305"/>
      <c r="AG14" s="171"/>
      <c r="AH14" s="316"/>
      <c r="AI14" s="314"/>
      <c r="AJ14" s="305"/>
      <c r="AK14" s="171"/>
      <c r="AL14" s="316"/>
      <c r="AM14" s="314"/>
      <c r="AN14" s="305"/>
      <c r="AO14" s="171"/>
      <c r="AP14" s="316"/>
      <c r="AQ14" s="314"/>
      <c r="AR14" s="305"/>
      <c r="AS14" s="171"/>
      <c r="AT14" s="316"/>
    </row>
    <row r="15" spans="1:46" ht="40.5" x14ac:dyDescent="0.25">
      <c r="A15" s="93">
        <v>12</v>
      </c>
      <c r="B15" s="293" t="s">
        <v>320</v>
      </c>
      <c r="C15" s="191"/>
      <c r="D15" s="305"/>
      <c r="E15" s="191"/>
      <c r="F15" s="191"/>
      <c r="G15" s="191"/>
      <c r="H15" s="305"/>
      <c r="I15" s="191"/>
      <c r="J15" s="191"/>
      <c r="K15" s="191"/>
      <c r="L15" s="305"/>
      <c r="M15" s="169"/>
      <c r="N15" s="331"/>
      <c r="O15" s="314"/>
      <c r="P15" s="305"/>
      <c r="Q15" s="171"/>
      <c r="R15" s="316"/>
      <c r="S15" s="191"/>
      <c r="T15" s="305"/>
      <c r="U15" s="171"/>
      <c r="V15" s="316"/>
      <c r="W15" s="191"/>
      <c r="X15" s="305"/>
      <c r="Y15" s="171"/>
      <c r="Z15" s="316"/>
      <c r="AA15" s="191"/>
      <c r="AB15" s="305"/>
      <c r="AC15" s="171"/>
      <c r="AD15" s="316"/>
      <c r="AE15" s="191"/>
      <c r="AF15" s="305"/>
      <c r="AG15" s="171"/>
      <c r="AH15" s="316"/>
      <c r="AI15" s="191"/>
      <c r="AJ15" s="305"/>
      <c r="AK15" s="171"/>
      <c r="AL15" s="316"/>
      <c r="AM15" s="191"/>
      <c r="AN15" s="305"/>
      <c r="AO15" s="171"/>
      <c r="AP15" s="316"/>
      <c r="AQ15" s="191"/>
      <c r="AR15" s="305"/>
      <c r="AS15" s="171"/>
      <c r="AT15" s="316"/>
    </row>
    <row r="16" spans="1:46" ht="54" x14ac:dyDescent="0.25">
      <c r="A16" s="93">
        <v>13</v>
      </c>
      <c r="B16" s="293" t="s">
        <v>334</v>
      </c>
      <c r="C16" s="191"/>
      <c r="D16" s="305"/>
      <c r="E16" s="191"/>
      <c r="F16" s="191"/>
      <c r="G16" s="191"/>
      <c r="H16" s="305"/>
      <c r="I16" s="191"/>
      <c r="J16" s="191"/>
      <c r="K16" s="191"/>
      <c r="L16" s="305"/>
      <c r="M16" s="169"/>
      <c r="N16" s="331"/>
      <c r="O16" s="314"/>
      <c r="P16" s="305"/>
      <c r="Q16" s="171"/>
      <c r="R16" s="316"/>
      <c r="S16" s="191"/>
      <c r="T16" s="305"/>
      <c r="U16" s="171"/>
      <c r="V16" s="316"/>
      <c r="W16" s="191"/>
      <c r="X16" s="305"/>
      <c r="Y16" s="171"/>
      <c r="Z16" s="316"/>
      <c r="AA16" s="191"/>
      <c r="AB16" s="305"/>
      <c r="AC16" s="171"/>
      <c r="AD16" s="316"/>
      <c r="AE16" s="191"/>
      <c r="AF16" s="305"/>
      <c r="AG16" s="171"/>
      <c r="AH16" s="316"/>
      <c r="AI16" s="191"/>
      <c r="AJ16" s="305"/>
      <c r="AK16" s="171"/>
      <c r="AL16" s="316"/>
      <c r="AM16" s="191"/>
      <c r="AN16" s="305"/>
      <c r="AO16" s="171"/>
      <c r="AP16" s="316"/>
      <c r="AQ16" s="191"/>
      <c r="AR16" s="305"/>
      <c r="AS16" s="171"/>
      <c r="AT16" s="316"/>
    </row>
    <row r="17" spans="1:46" ht="81" x14ac:dyDescent="0.25">
      <c r="A17" s="93">
        <v>14</v>
      </c>
      <c r="B17" s="303" t="s">
        <v>344</v>
      </c>
      <c r="C17" s="191"/>
      <c r="D17" s="305"/>
      <c r="E17" s="191"/>
      <c r="F17" s="191"/>
      <c r="G17" s="191"/>
      <c r="H17" s="305"/>
      <c r="I17" s="191"/>
      <c r="J17" s="191"/>
      <c r="K17" s="191"/>
      <c r="L17" s="305"/>
      <c r="M17" s="169"/>
      <c r="N17" s="331"/>
      <c r="O17" s="314"/>
      <c r="P17" s="305"/>
      <c r="Q17" s="171"/>
      <c r="R17" s="316"/>
      <c r="S17" s="191"/>
      <c r="T17" s="305"/>
      <c r="U17" s="171"/>
      <c r="V17" s="316"/>
      <c r="W17" s="191"/>
      <c r="X17" s="305"/>
      <c r="Y17" s="171"/>
      <c r="Z17" s="316"/>
      <c r="AA17" s="191"/>
      <c r="AB17" s="305"/>
      <c r="AC17" s="171"/>
      <c r="AD17" s="316"/>
      <c r="AE17" s="191"/>
      <c r="AF17" s="305"/>
      <c r="AG17" s="171"/>
      <c r="AH17" s="316"/>
      <c r="AI17" s="191"/>
      <c r="AJ17" s="305"/>
      <c r="AK17" s="171"/>
      <c r="AL17" s="316"/>
      <c r="AM17" s="191"/>
      <c r="AN17" s="305"/>
      <c r="AO17" s="171"/>
      <c r="AP17" s="337"/>
      <c r="AQ17" s="191"/>
      <c r="AR17" s="305"/>
      <c r="AS17" s="171"/>
      <c r="AT17" s="316"/>
    </row>
    <row r="18" spans="1:46" ht="27" x14ac:dyDescent="0.25">
      <c r="A18" s="93">
        <v>15</v>
      </c>
      <c r="B18" s="303" t="s">
        <v>355</v>
      </c>
      <c r="C18" s="191"/>
      <c r="D18" s="305"/>
      <c r="E18" s="176"/>
      <c r="F18" s="176"/>
      <c r="G18" s="191"/>
      <c r="H18" s="305"/>
      <c r="I18" s="176"/>
      <c r="J18" s="176"/>
      <c r="K18" s="191"/>
      <c r="L18" s="305"/>
      <c r="M18" s="169"/>
      <c r="N18" s="331"/>
      <c r="O18" s="314"/>
      <c r="P18" s="305"/>
      <c r="Q18" s="171"/>
      <c r="R18" s="316"/>
      <c r="S18" s="191"/>
      <c r="T18" s="305"/>
      <c r="U18" s="171"/>
      <c r="V18" s="316"/>
      <c r="W18" s="191"/>
      <c r="X18" s="305"/>
      <c r="Y18" s="171"/>
      <c r="Z18" s="316"/>
      <c r="AA18" s="191"/>
      <c r="AB18" s="305"/>
      <c r="AC18" s="171"/>
      <c r="AD18" s="316"/>
      <c r="AE18" s="191"/>
      <c r="AF18" s="305"/>
      <c r="AG18" s="171"/>
      <c r="AH18" s="316"/>
      <c r="AI18" s="191"/>
      <c r="AJ18" s="305"/>
      <c r="AK18" s="171"/>
      <c r="AL18" s="316"/>
      <c r="AM18" s="191"/>
      <c r="AN18" s="305"/>
      <c r="AO18" s="171"/>
      <c r="AP18" s="337"/>
      <c r="AQ18" s="191"/>
      <c r="AR18" s="305"/>
      <c r="AS18" s="171"/>
      <c r="AT18" s="316"/>
    </row>
    <row r="19" spans="1:46" ht="54" x14ac:dyDescent="0.25">
      <c r="A19" s="93">
        <v>16</v>
      </c>
      <c r="B19" s="303" t="s">
        <v>4</v>
      </c>
      <c r="C19" s="191"/>
      <c r="D19" s="305"/>
      <c r="E19" s="187"/>
      <c r="F19" s="176"/>
      <c r="G19" s="191"/>
      <c r="H19" s="305"/>
      <c r="I19" s="187"/>
      <c r="J19" s="176"/>
      <c r="K19" s="191"/>
      <c r="L19" s="305"/>
      <c r="M19" s="169"/>
      <c r="N19" s="331"/>
      <c r="O19" s="314"/>
      <c r="P19" s="305"/>
      <c r="Q19" s="171"/>
      <c r="R19" s="316"/>
      <c r="S19" s="191"/>
      <c r="T19" s="305"/>
      <c r="U19" s="171"/>
      <c r="V19" s="316"/>
      <c r="W19" s="191"/>
      <c r="X19" s="305"/>
      <c r="Y19" s="171"/>
      <c r="Z19" s="316"/>
      <c r="AA19" s="191"/>
      <c r="AB19" s="305"/>
      <c r="AC19" s="171"/>
      <c r="AD19" s="316"/>
      <c r="AE19" s="191"/>
      <c r="AF19" s="305"/>
      <c r="AG19" s="171"/>
      <c r="AH19" s="316"/>
      <c r="AI19" s="191"/>
      <c r="AJ19" s="305"/>
      <c r="AK19" s="171"/>
      <c r="AL19" s="316"/>
      <c r="AM19" s="191"/>
      <c r="AN19" s="305"/>
      <c r="AO19" s="171"/>
      <c r="AP19" s="337"/>
      <c r="AQ19" s="191"/>
      <c r="AR19" s="305"/>
      <c r="AS19" s="171"/>
      <c r="AT19" s="316"/>
    </row>
    <row r="20" spans="1:46" ht="40.5" x14ac:dyDescent="0.25">
      <c r="A20" s="93">
        <v>17</v>
      </c>
      <c r="B20" s="293" t="s">
        <v>380</v>
      </c>
      <c r="C20" s="191"/>
      <c r="D20" s="305"/>
      <c r="E20" s="191"/>
      <c r="F20" s="191"/>
      <c r="G20" s="191"/>
      <c r="H20" s="305"/>
      <c r="I20" s="191"/>
      <c r="J20" s="191"/>
      <c r="K20" s="191"/>
      <c r="L20" s="305"/>
      <c r="M20" s="169"/>
      <c r="N20" s="331"/>
      <c r="O20" s="314"/>
      <c r="P20" s="305"/>
      <c r="Q20" s="171"/>
      <c r="R20" s="316"/>
      <c r="S20" s="191"/>
      <c r="T20" s="305"/>
      <c r="U20" s="171"/>
      <c r="V20" s="316"/>
      <c r="W20" s="191"/>
      <c r="X20" s="305"/>
      <c r="Y20" s="171"/>
      <c r="Z20" s="316"/>
      <c r="AA20" s="191"/>
      <c r="AB20" s="305"/>
      <c r="AC20" s="171"/>
      <c r="AD20" s="316"/>
      <c r="AE20" s="191"/>
      <c r="AF20" s="305"/>
      <c r="AG20" s="171"/>
      <c r="AH20" s="316"/>
      <c r="AI20" s="191"/>
      <c r="AJ20" s="305"/>
      <c r="AK20" s="171"/>
      <c r="AL20" s="316"/>
      <c r="AM20" s="191"/>
      <c r="AN20" s="305"/>
      <c r="AO20" s="171"/>
      <c r="AP20" s="316"/>
      <c r="AQ20" s="191"/>
      <c r="AR20" s="305"/>
      <c r="AS20" s="171"/>
      <c r="AT20" s="316"/>
    </row>
    <row r="21" spans="1:46" ht="27" x14ac:dyDescent="0.25">
      <c r="A21" s="93">
        <v>18</v>
      </c>
      <c r="B21" s="303" t="s">
        <v>388</v>
      </c>
      <c r="C21" s="191"/>
      <c r="D21" s="305"/>
      <c r="E21" s="191"/>
      <c r="F21" s="191"/>
      <c r="G21" s="191"/>
      <c r="H21" s="305"/>
      <c r="I21" s="191"/>
      <c r="J21" s="191"/>
      <c r="K21" s="191"/>
      <c r="L21" s="305"/>
      <c r="M21" s="169"/>
      <c r="N21" s="331"/>
      <c r="O21" s="314"/>
      <c r="P21" s="305"/>
      <c r="Q21" s="171"/>
      <c r="R21" s="316"/>
      <c r="S21" s="191"/>
      <c r="T21" s="305"/>
      <c r="U21" s="191"/>
      <c r="V21" s="316"/>
      <c r="W21" s="191"/>
      <c r="X21" s="305"/>
      <c r="Y21" s="191"/>
      <c r="Z21" s="316"/>
      <c r="AA21" s="191"/>
      <c r="AB21" s="305"/>
      <c r="AC21" s="191"/>
      <c r="AD21" s="316"/>
      <c r="AE21" s="191"/>
      <c r="AF21" s="305"/>
      <c r="AG21" s="191"/>
      <c r="AH21" s="316"/>
      <c r="AI21" s="191"/>
      <c r="AJ21" s="305"/>
      <c r="AK21" s="191"/>
      <c r="AL21" s="316"/>
      <c r="AM21" s="191"/>
      <c r="AN21" s="305"/>
      <c r="AO21" s="191"/>
      <c r="AP21" s="316"/>
      <c r="AQ21" s="191"/>
      <c r="AR21" s="305"/>
      <c r="AS21" s="191"/>
      <c r="AT21" s="316"/>
    </row>
    <row r="22" spans="1:46" ht="27" x14ac:dyDescent="0.25">
      <c r="A22" s="93">
        <v>19</v>
      </c>
      <c r="B22" s="303" t="s">
        <v>404</v>
      </c>
      <c r="C22" s="176"/>
      <c r="D22" s="305"/>
      <c r="E22" s="169"/>
      <c r="F22" s="191"/>
      <c r="G22" s="176"/>
      <c r="H22" s="305"/>
      <c r="I22" s="191"/>
      <c r="J22" s="191"/>
      <c r="K22" s="176"/>
      <c r="L22" s="305"/>
      <c r="M22" s="169"/>
      <c r="N22" s="331"/>
      <c r="O22" s="317"/>
      <c r="P22" s="305"/>
      <c r="Q22" s="171"/>
      <c r="R22" s="316"/>
      <c r="S22" s="176"/>
      <c r="T22" s="305"/>
      <c r="U22" s="191"/>
      <c r="V22" s="316"/>
      <c r="W22" s="176"/>
      <c r="X22" s="305"/>
      <c r="Y22" s="191"/>
      <c r="Z22" s="316"/>
      <c r="AA22" s="176"/>
      <c r="AB22" s="305"/>
      <c r="AC22" s="191"/>
      <c r="AD22" s="316"/>
      <c r="AE22" s="176"/>
      <c r="AF22" s="305"/>
      <c r="AG22" s="191"/>
      <c r="AH22" s="316"/>
      <c r="AI22" s="176"/>
      <c r="AJ22" s="305"/>
      <c r="AK22" s="191"/>
      <c r="AL22" s="316"/>
      <c r="AM22" s="176"/>
      <c r="AN22" s="305"/>
      <c r="AO22" s="191"/>
      <c r="AP22" s="316"/>
      <c r="AQ22" s="176"/>
      <c r="AR22" s="305"/>
      <c r="AS22" s="191"/>
      <c r="AT22" s="316"/>
    </row>
    <row r="23" spans="1:46" ht="27" x14ac:dyDescent="0.25">
      <c r="A23" s="74">
        <v>20</v>
      </c>
      <c r="B23" s="303" t="s">
        <v>417</v>
      </c>
      <c r="C23" s="191"/>
      <c r="D23" s="305"/>
      <c r="E23" s="169"/>
      <c r="F23" s="191"/>
      <c r="G23" s="191"/>
      <c r="H23" s="305"/>
      <c r="I23" s="191"/>
      <c r="J23" s="191"/>
      <c r="K23" s="191"/>
      <c r="L23" s="305"/>
      <c r="M23" s="169"/>
      <c r="N23" s="331"/>
      <c r="O23" s="314"/>
      <c r="P23" s="305"/>
      <c r="Q23" s="171"/>
      <c r="R23" s="316"/>
      <c r="S23" s="191"/>
      <c r="T23" s="305"/>
      <c r="U23" s="191"/>
      <c r="V23" s="316"/>
      <c r="W23" s="191"/>
      <c r="X23" s="305"/>
      <c r="Y23" s="191"/>
      <c r="Z23" s="316"/>
      <c r="AA23" s="191"/>
      <c r="AB23" s="305"/>
      <c r="AC23" s="191"/>
      <c r="AD23" s="316"/>
      <c r="AE23" s="191"/>
      <c r="AF23" s="305"/>
      <c r="AG23" s="191"/>
      <c r="AH23" s="316"/>
      <c r="AI23" s="191"/>
      <c r="AJ23" s="305"/>
      <c r="AK23" s="191"/>
      <c r="AL23" s="316"/>
      <c r="AM23" s="191"/>
      <c r="AN23" s="305"/>
      <c r="AO23" s="191"/>
      <c r="AP23" s="316"/>
      <c r="AQ23" s="191"/>
      <c r="AR23" s="305"/>
      <c r="AS23" s="191"/>
      <c r="AT23" s="316"/>
    </row>
    <row r="24" spans="1:46" ht="27" x14ac:dyDescent="0.25">
      <c r="A24" s="93">
        <v>21</v>
      </c>
      <c r="B24" s="303" t="s">
        <v>429</v>
      </c>
      <c r="C24" s="191"/>
      <c r="D24" s="305"/>
      <c r="E24" s="169"/>
      <c r="F24" s="191"/>
      <c r="G24" s="191"/>
      <c r="H24" s="305"/>
      <c r="I24" s="191"/>
      <c r="J24" s="191"/>
      <c r="K24" s="191"/>
      <c r="L24" s="305"/>
      <c r="M24" s="169"/>
      <c r="N24" s="331"/>
      <c r="O24" s="314"/>
      <c r="P24" s="305"/>
      <c r="Q24" s="171"/>
      <c r="R24" s="316"/>
      <c r="S24" s="191"/>
      <c r="T24" s="305"/>
      <c r="U24" s="191"/>
      <c r="V24" s="316"/>
      <c r="W24" s="191"/>
      <c r="X24" s="305"/>
      <c r="Y24" s="191"/>
      <c r="Z24" s="316"/>
      <c r="AA24" s="191"/>
      <c r="AB24" s="305"/>
      <c r="AC24" s="191"/>
      <c r="AD24" s="316"/>
      <c r="AE24" s="191"/>
      <c r="AF24" s="305"/>
      <c r="AG24" s="191"/>
      <c r="AH24" s="316"/>
      <c r="AI24" s="191"/>
      <c r="AJ24" s="305"/>
      <c r="AK24" s="191"/>
      <c r="AL24" s="316"/>
      <c r="AM24" s="191"/>
      <c r="AN24" s="305"/>
      <c r="AO24" s="191"/>
      <c r="AP24" s="316"/>
      <c r="AQ24" s="191"/>
      <c r="AR24" s="305"/>
      <c r="AS24" s="191"/>
      <c r="AT24" s="316"/>
    </row>
    <row r="25" spans="1:46" ht="40.5" x14ac:dyDescent="0.25">
      <c r="A25" s="301">
        <v>22</v>
      </c>
      <c r="B25" s="292" t="s">
        <v>444</v>
      </c>
      <c r="C25" s="168"/>
      <c r="D25" s="306"/>
      <c r="E25" s="191"/>
      <c r="F25" s="191"/>
      <c r="G25" s="168"/>
      <c r="H25" s="306"/>
      <c r="I25" s="191"/>
      <c r="J25" s="191"/>
      <c r="K25" s="168"/>
      <c r="L25" s="306"/>
      <c r="M25" s="169"/>
      <c r="N25" s="308"/>
      <c r="O25" s="319"/>
      <c r="P25" s="306"/>
      <c r="Q25" s="171"/>
      <c r="R25" s="316"/>
      <c r="S25" s="176"/>
      <c r="T25" s="306"/>
      <c r="U25" s="171"/>
      <c r="V25" s="316"/>
      <c r="W25" s="176"/>
      <c r="X25" s="306"/>
      <c r="Y25" s="171"/>
      <c r="Z25" s="316"/>
      <c r="AA25" s="176"/>
      <c r="AB25" s="306"/>
      <c r="AC25" s="171"/>
      <c r="AD25" s="316"/>
      <c r="AE25" s="176"/>
      <c r="AF25" s="306"/>
      <c r="AG25" s="171"/>
      <c r="AH25" s="316"/>
      <c r="AI25" s="176"/>
      <c r="AJ25" s="306"/>
      <c r="AK25" s="171"/>
      <c r="AL25" s="316"/>
      <c r="AM25" s="176"/>
      <c r="AN25" s="306"/>
      <c r="AO25" s="171"/>
      <c r="AP25" s="316"/>
      <c r="AQ25" s="176"/>
      <c r="AR25" s="306"/>
      <c r="AS25" s="171"/>
      <c r="AT25" s="316"/>
    </row>
    <row r="26" spans="1:46" ht="27" x14ac:dyDescent="0.25">
      <c r="A26" s="301">
        <v>23</v>
      </c>
      <c r="B26" s="294" t="s">
        <v>460</v>
      </c>
      <c r="C26" s="191"/>
      <c r="D26" s="306"/>
      <c r="E26" s="176"/>
      <c r="F26" s="176"/>
      <c r="G26" s="191"/>
      <c r="H26" s="306"/>
      <c r="I26" s="176"/>
      <c r="J26" s="176"/>
      <c r="K26" s="191"/>
      <c r="L26" s="306"/>
      <c r="M26" s="169"/>
      <c r="N26" s="308"/>
      <c r="O26" s="314"/>
      <c r="P26" s="306"/>
      <c r="Q26" s="171"/>
      <c r="R26" s="316"/>
      <c r="S26" s="314"/>
      <c r="T26" s="306"/>
      <c r="U26" s="171"/>
      <c r="V26" s="316"/>
      <c r="W26" s="314"/>
      <c r="X26" s="306"/>
      <c r="Y26" s="171"/>
      <c r="Z26" s="316"/>
      <c r="AA26" s="314"/>
      <c r="AB26" s="306"/>
      <c r="AC26" s="171"/>
      <c r="AD26" s="316"/>
      <c r="AE26" s="314"/>
      <c r="AF26" s="306"/>
      <c r="AG26" s="171"/>
      <c r="AH26" s="316"/>
      <c r="AI26" s="314"/>
      <c r="AJ26" s="306"/>
      <c r="AK26" s="171"/>
      <c r="AL26" s="316"/>
      <c r="AM26" s="314"/>
      <c r="AN26" s="306"/>
      <c r="AO26" s="171"/>
      <c r="AP26" s="316"/>
      <c r="AQ26" s="314"/>
      <c r="AR26" s="306"/>
      <c r="AS26" s="171"/>
      <c r="AT26" s="316"/>
    </row>
    <row r="27" spans="1:46" ht="40.5" x14ac:dyDescent="0.25">
      <c r="A27" s="301">
        <v>24</v>
      </c>
      <c r="B27" s="294" t="s">
        <v>1058</v>
      </c>
      <c r="C27" s="191"/>
      <c r="D27" s="306"/>
      <c r="E27" s="187"/>
      <c r="F27" s="187"/>
      <c r="G27" s="191"/>
      <c r="H27" s="306"/>
      <c r="I27" s="187"/>
      <c r="J27" s="187"/>
      <c r="K27" s="191"/>
      <c r="L27" s="306"/>
      <c r="M27" s="169"/>
      <c r="N27" s="308"/>
      <c r="O27" s="314"/>
      <c r="P27" s="306"/>
      <c r="Q27" s="171"/>
      <c r="R27" s="316"/>
      <c r="S27" s="314"/>
      <c r="T27" s="306"/>
      <c r="U27" s="171"/>
      <c r="V27" s="316"/>
      <c r="W27" s="314"/>
      <c r="X27" s="306"/>
      <c r="Y27" s="171"/>
      <c r="Z27" s="316"/>
      <c r="AA27" s="314"/>
      <c r="AB27" s="306"/>
      <c r="AC27" s="171"/>
      <c r="AD27" s="316"/>
      <c r="AE27" s="314"/>
      <c r="AF27" s="306"/>
      <c r="AG27" s="171"/>
      <c r="AH27" s="316"/>
      <c r="AI27" s="314"/>
      <c r="AJ27" s="306"/>
      <c r="AK27" s="171"/>
      <c r="AL27" s="316"/>
      <c r="AM27" s="314"/>
      <c r="AN27" s="306"/>
      <c r="AO27" s="171"/>
      <c r="AP27" s="316"/>
      <c r="AQ27" s="314"/>
      <c r="AR27" s="306"/>
      <c r="AS27" s="171"/>
      <c r="AT27" s="316"/>
    </row>
    <row r="28" spans="1:46" ht="27" x14ac:dyDescent="0.25">
      <c r="A28" s="301">
        <v>25</v>
      </c>
      <c r="B28" s="293" t="s">
        <v>482</v>
      </c>
      <c r="C28" s="191"/>
      <c r="D28" s="306"/>
      <c r="E28" s="191"/>
      <c r="F28" s="191"/>
      <c r="G28" s="191"/>
      <c r="H28" s="306"/>
      <c r="I28" s="191"/>
      <c r="J28" s="191"/>
      <c r="K28" s="191"/>
      <c r="L28" s="306"/>
      <c r="M28" s="169"/>
      <c r="N28" s="308"/>
      <c r="O28" s="314"/>
      <c r="P28" s="306"/>
      <c r="Q28" s="171"/>
      <c r="R28" s="316"/>
      <c r="S28" s="314"/>
      <c r="T28" s="306"/>
      <c r="U28" s="171"/>
      <c r="V28" s="316"/>
      <c r="W28" s="314"/>
      <c r="X28" s="306"/>
      <c r="Y28" s="171"/>
      <c r="Z28" s="316"/>
      <c r="AA28" s="314"/>
      <c r="AB28" s="306"/>
      <c r="AC28" s="171"/>
      <c r="AD28" s="316"/>
      <c r="AE28" s="314"/>
      <c r="AF28" s="306"/>
      <c r="AG28" s="171"/>
      <c r="AH28" s="316"/>
      <c r="AI28" s="314"/>
      <c r="AJ28" s="306"/>
      <c r="AK28" s="171"/>
      <c r="AL28" s="316"/>
      <c r="AM28" s="314"/>
      <c r="AN28" s="306"/>
      <c r="AO28" s="171"/>
      <c r="AP28" s="316"/>
      <c r="AQ28" s="314"/>
      <c r="AR28" s="306"/>
      <c r="AS28" s="171"/>
      <c r="AT28" s="316"/>
    </row>
    <row r="29" spans="1:46" ht="27" x14ac:dyDescent="0.25">
      <c r="A29" s="301">
        <v>26</v>
      </c>
      <c r="B29" s="293" t="s">
        <v>494</v>
      </c>
      <c r="C29" s="191"/>
      <c r="D29" s="306"/>
      <c r="E29" s="191"/>
      <c r="F29" s="191"/>
      <c r="G29" s="191"/>
      <c r="H29" s="306"/>
      <c r="I29" s="191"/>
      <c r="J29" s="191"/>
      <c r="K29" s="191"/>
      <c r="L29" s="306"/>
      <c r="M29" s="169"/>
      <c r="N29" s="308"/>
      <c r="O29" s="314"/>
      <c r="P29" s="306"/>
      <c r="Q29" s="171"/>
      <c r="R29" s="316"/>
      <c r="S29" s="314"/>
      <c r="T29" s="306"/>
      <c r="U29" s="171"/>
      <c r="V29" s="316"/>
      <c r="W29" s="314"/>
      <c r="X29" s="306"/>
      <c r="Y29" s="171"/>
      <c r="Z29" s="316"/>
      <c r="AA29" s="314"/>
      <c r="AB29" s="306"/>
      <c r="AC29" s="171"/>
      <c r="AD29" s="316"/>
      <c r="AE29" s="314"/>
      <c r="AF29" s="306"/>
      <c r="AG29" s="171"/>
      <c r="AH29" s="316"/>
      <c r="AI29" s="314"/>
      <c r="AJ29" s="306"/>
      <c r="AK29" s="171"/>
      <c r="AL29" s="316"/>
      <c r="AM29" s="314"/>
      <c r="AN29" s="306"/>
      <c r="AO29" s="171"/>
      <c r="AP29" s="316"/>
      <c r="AQ29" s="314"/>
      <c r="AR29" s="306"/>
      <c r="AS29" s="171"/>
      <c r="AT29" s="316"/>
    </row>
    <row r="30" spans="1:46" ht="27" x14ac:dyDescent="0.25">
      <c r="A30" s="301">
        <v>27</v>
      </c>
      <c r="B30" s="293" t="s">
        <v>503</v>
      </c>
      <c r="C30" s="169"/>
      <c r="D30" s="306"/>
      <c r="E30" s="191"/>
      <c r="F30" s="191"/>
      <c r="G30" s="169"/>
      <c r="H30" s="306"/>
      <c r="I30" s="191"/>
      <c r="J30" s="191"/>
      <c r="K30" s="169"/>
      <c r="L30" s="306"/>
      <c r="M30" s="169"/>
      <c r="N30" s="308"/>
      <c r="O30" s="320"/>
      <c r="P30" s="306"/>
      <c r="Q30" s="171"/>
      <c r="R30" s="316"/>
      <c r="S30" s="320"/>
      <c r="T30" s="306"/>
      <c r="U30" s="171"/>
      <c r="V30" s="316"/>
      <c r="W30" s="320"/>
      <c r="X30" s="306"/>
      <c r="Y30" s="171"/>
      <c r="Z30" s="316"/>
      <c r="AA30" s="320"/>
      <c r="AB30" s="306"/>
      <c r="AC30" s="171"/>
      <c r="AD30" s="316"/>
      <c r="AE30" s="320"/>
      <c r="AF30" s="306"/>
      <c r="AG30" s="171"/>
      <c r="AH30" s="316"/>
      <c r="AI30" s="320"/>
      <c r="AJ30" s="306"/>
      <c r="AK30" s="171"/>
      <c r="AL30" s="316"/>
      <c r="AM30" s="320"/>
      <c r="AN30" s="306"/>
      <c r="AO30" s="171"/>
      <c r="AP30" s="316"/>
      <c r="AQ30" s="320"/>
      <c r="AR30" s="306"/>
      <c r="AS30" s="171"/>
      <c r="AT30" s="316"/>
    </row>
    <row r="31" spans="1:46" ht="27" x14ac:dyDescent="0.25">
      <c r="A31" s="301">
        <v>28</v>
      </c>
      <c r="B31" s="293" t="s">
        <v>514</v>
      </c>
      <c r="C31" s="191"/>
      <c r="D31" s="306"/>
      <c r="E31" s="191"/>
      <c r="F31" s="191"/>
      <c r="G31" s="191"/>
      <c r="H31" s="306"/>
      <c r="I31" s="191"/>
      <c r="J31" s="191"/>
      <c r="K31" s="191"/>
      <c r="L31" s="306"/>
      <c r="M31" s="169"/>
      <c r="N31" s="308"/>
      <c r="O31" s="314"/>
      <c r="P31" s="306"/>
      <c r="Q31" s="171"/>
      <c r="R31" s="316"/>
      <c r="S31" s="314"/>
      <c r="T31" s="306"/>
      <c r="U31" s="171"/>
      <c r="V31" s="316"/>
      <c r="W31" s="314"/>
      <c r="X31" s="306"/>
      <c r="Y31" s="171"/>
      <c r="Z31" s="316"/>
      <c r="AA31" s="314"/>
      <c r="AB31" s="306"/>
      <c r="AC31" s="171"/>
      <c r="AD31" s="316"/>
      <c r="AE31" s="314"/>
      <c r="AF31" s="306"/>
      <c r="AG31" s="171"/>
      <c r="AH31" s="316"/>
      <c r="AI31" s="314"/>
      <c r="AJ31" s="306"/>
      <c r="AK31" s="171"/>
      <c r="AL31" s="316"/>
      <c r="AM31" s="314"/>
      <c r="AN31" s="306"/>
      <c r="AO31" s="171"/>
      <c r="AP31" s="316"/>
      <c r="AQ31" s="314"/>
      <c r="AR31" s="306"/>
      <c r="AS31" s="171"/>
      <c r="AT31" s="316"/>
    </row>
    <row r="32" spans="1:46" ht="40.5" x14ac:dyDescent="0.25">
      <c r="A32" s="301">
        <v>29</v>
      </c>
      <c r="B32" s="292" t="s">
        <v>524</v>
      </c>
      <c r="C32" s="167"/>
      <c r="D32" s="306"/>
      <c r="E32" s="191"/>
      <c r="F32" s="191"/>
      <c r="G32" s="167"/>
      <c r="H32" s="306"/>
      <c r="I32" s="191"/>
      <c r="J32" s="191"/>
      <c r="K32" s="167"/>
      <c r="L32" s="306"/>
      <c r="M32" s="169"/>
      <c r="N32" s="308"/>
      <c r="O32" s="321"/>
      <c r="P32" s="306"/>
      <c r="Q32" s="171"/>
      <c r="R32" s="316"/>
      <c r="S32" s="321"/>
      <c r="T32" s="306"/>
      <c r="U32" s="171"/>
      <c r="V32" s="316"/>
      <c r="W32" s="321"/>
      <c r="X32" s="306"/>
      <c r="Y32" s="171"/>
      <c r="Z32" s="316"/>
      <c r="AA32" s="321"/>
      <c r="AB32" s="306"/>
      <c r="AC32" s="171"/>
      <c r="AD32" s="316"/>
      <c r="AE32" s="321"/>
      <c r="AF32" s="306"/>
      <c r="AG32" s="171"/>
      <c r="AH32" s="316"/>
      <c r="AI32" s="321"/>
      <c r="AJ32" s="306"/>
      <c r="AK32" s="171"/>
      <c r="AL32" s="316"/>
      <c r="AM32" s="321"/>
      <c r="AN32" s="306"/>
      <c r="AO32" s="171"/>
      <c r="AP32" s="316"/>
      <c r="AQ32" s="321"/>
      <c r="AR32" s="306"/>
      <c r="AS32" s="171"/>
      <c r="AT32" s="316"/>
    </row>
    <row r="33" spans="1:46" ht="40.5" x14ac:dyDescent="0.25">
      <c r="A33" s="301">
        <v>30</v>
      </c>
      <c r="B33" s="292" t="s">
        <v>533</v>
      </c>
      <c r="C33" s="172"/>
      <c r="D33" s="306"/>
      <c r="E33" s="302"/>
      <c r="F33" s="302"/>
      <c r="G33" s="172"/>
      <c r="H33" s="306"/>
      <c r="I33" s="302"/>
      <c r="J33" s="302"/>
      <c r="K33" s="172"/>
      <c r="L33" s="306"/>
      <c r="M33" s="169"/>
      <c r="N33" s="308"/>
      <c r="O33" s="322"/>
      <c r="P33" s="306"/>
      <c r="Q33" s="171"/>
      <c r="R33" s="316"/>
      <c r="S33" s="322"/>
      <c r="T33" s="306"/>
      <c r="U33" s="171"/>
      <c r="V33" s="316"/>
      <c r="W33" s="322"/>
      <c r="X33" s="306"/>
      <c r="Y33" s="171"/>
      <c r="Z33" s="316"/>
      <c r="AA33" s="322"/>
      <c r="AB33" s="306"/>
      <c r="AC33" s="171"/>
      <c r="AD33" s="316"/>
      <c r="AE33" s="322"/>
      <c r="AF33" s="306"/>
      <c r="AG33" s="171"/>
      <c r="AH33" s="316"/>
      <c r="AI33" s="322"/>
      <c r="AJ33" s="306"/>
      <c r="AK33" s="171"/>
      <c r="AL33" s="316"/>
      <c r="AM33" s="322"/>
      <c r="AN33" s="306"/>
      <c r="AO33" s="171"/>
      <c r="AP33" s="316"/>
      <c r="AQ33" s="322"/>
      <c r="AR33" s="306"/>
      <c r="AS33" s="171"/>
      <c r="AT33" s="316"/>
    </row>
    <row r="34" spans="1:46" ht="54" x14ac:dyDescent="0.25">
      <c r="A34" s="301">
        <v>31</v>
      </c>
      <c r="B34" s="293" t="s">
        <v>546</v>
      </c>
      <c r="C34" s="191"/>
      <c r="D34" s="306"/>
      <c r="E34" s="302"/>
      <c r="F34" s="302"/>
      <c r="G34" s="191"/>
      <c r="H34" s="306"/>
      <c r="I34" s="302"/>
      <c r="J34" s="302"/>
      <c r="K34" s="191"/>
      <c r="L34" s="306"/>
      <c r="M34" s="169"/>
      <c r="N34" s="308"/>
      <c r="O34" s="314"/>
      <c r="P34" s="306"/>
      <c r="Q34" s="171"/>
      <c r="R34" s="316"/>
      <c r="S34" s="314"/>
      <c r="T34" s="306"/>
      <c r="U34" s="171"/>
      <c r="V34" s="316"/>
      <c r="W34" s="314"/>
      <c r="X34" s="306"/>
      <c r="Y34" s="171"/>
      <c r="Z34" s="316"/>
      <c r="AA34" s="314"/>
      <c r="AB34" s="306"/>
      <c r="AC34" s="171"/>
      <c r="AD34" s="316"/>
      <c r="AE34" s="314"/>
      <c r="AF34" s="306"/>
      <c r="AG34" s="171"/>
      <c r="AH34" s="316"/>
      <c r="AI34" s="314"/>
      <c r="AJ34" s="306"/>
      <c r="AK34" s="171"/>
      <c r="AL34" s="316"/>
      <c r="AM34" s="314"/>
      <c r="AN34" s="306"/>
      <c r="AO34" s="171"/>
      <c r="AP34" s="316"/>
      <c r="AQ34" s="314"/>
      <c r="AR34" s="306"/>
      <c r="AS34" s="171"/>
      <c r="AT34" s="316"/>
    </row>
    <row r="35" spans="1:46" ht="67.5" x14ac:dyDescent="0.25">
      <c r="A35" s="301">
        <v>32</v>
      </c>
      <c r="B35" s="293" t="s">
        <v>555</v>
      </c>
      <c r="C35" s="170"/>
      <c r="D35" s="306"/>
      <c r="E35" s="302"/>
      <c r="F35" s="302"/>
      <c r="G35" s="170"/>
      <c r="H35" s="306"/>
      <c r="I35" s="302"/>
      <c r="J35" s="302"/>
      <c r="K35" s="170"/>
      <c r="L35" s="306"/>
      <c r="M35" s="169"/>
      <c r="N35" s="308"/>
      <c r="O35" s="323"/>
      <c r="P35" s="306"/>
      <c r="Q35" s="171"/>
      <c r="R35" s="316"/>
      <c r="S35" s="323"/>
      <c r="T35" s="306"/>
      <c r="U35" s="171"/>
      <c r="V35" s="316"/>
      <c r="W35" s="323"/>
      <c r="X35" s="306"/>
      <c r="Y35" s="171"/>
      <c r="Z35" s="316"/>
      <c r="AA35" s="323"/>
      <c r="AB35" s="306"/>
      <c r="AC35" s="171"/>
      <c r="AD35" s="316"/>
      <c r="AE35" s="323"/>
      <c r="AF35" s="306"/>
      <c r="AG35" s="171"/>
      <c r="AH35" s="316"/>
      <c r="AI35" s="323"/>
      <c r="AJ35" s="306"/>
      <c r="AK35" s="171"/>
      <c r="AL35" s="316"/>
      <c r="AM35" s="323"/>
      <c r="AN35" s="306"/>
      <c r="AO35" s="171"/>
      <c r="AP35" s="316"/>
      <c r="AQ35" s="323"/>
      <c r="AR35" s="306"/>
      <c r="AS35" s="171"/>
      <c r="AT35" s="316"/>
    </row>
    <row r="36" spans="1:46" x14ac:dyDescent="0.25">
      <c r="A36" s="301">
        <v>33</v>
      </c>
      <c r="B36" s="292" t="s">
        <v>564</v>
      </c>
      <c r="C36" s="196"/>
      <c r="D36" s="306"/>
      <c r="E36" s="302"/>
      <c r="F36" s="302"/>
      <c r="G36" s="196"/>
      <c r="H36" s="306"/>
      <c r="I36" s="302"/>
      <c r="J36" s="302"/>
      <c r="K36" s="196"/>
      <c r="L36" s="306"/>
      <c r="M36" s="169"/>
      <c r="N36" s="308"/>
      <c r="O36" s="324"/>
      <c r="P36" s="306"/>
      <c r="Q36" s="171"/>
      <c r="R36" s="316"/>
      <c r="S36" s="324"/>
      <c r="T36" s="306"/>
      <c r="U36" s="171"/>
      <c r="V36" s="316"/>
      <c r="W36" s="324"/>
      <c r="X36" s="306"/>
      <c r="Y36" s="171"/>
      <c r="Z36" s="316"/>
      <c r="AA36" s="324"/>
      <c r="AB36" s="306"/>
      <c r="AC36" s="171"/>
      <c r="AD36" s="316"/>
      <c r="AE36" s="324"/>
      <c r="AF36" s="306"/>
      <c r="AG36" s="171"/>
      <c r="AH36" s="316"/>
      <c r="AI36" s="324"/>
      <c r="AJ36" s="306"/>
      <c r="AK36" s="171"/>
      <c r="AL36" s="316"/>
      <c r="AM36" s="324"/>
      <c r="AN36" s="306"/>
      <c r="AO36" s="171"/>
      <c r="AP36" s="316"/>
      <c r="AQ36" s="324"/>
      <c r="AR36" s="306"/>
      <c r="AS36" s="171"/>
      <c r="AT36" s="316"/>
    </row>
    <row r="37" spans="1:46" ht="40.5" x14ac:dyDescent="0.25">
      <c r="A37" s="301">
        <v>34</v>
      </c>
      <c r="B37" s="292" t="s">
        <v>575</v>
      </c>
      <c r="C37" s="176"/>
      <c r="D37" s="306"/>
      <c r="E37" s="302"/>
      <c r="F37" s="302"/>
      <c r="G37" s="176"/>
      <c r="H37" s="306"/>
      <c r="I37" s="302"/>
      <c r="J37" s="302"/>
      <c r="K37" s="176"/>
      <c r="L37" s="306"/>
      <c r="M37" s="169"/>
      <c r="N37" s="308"/>
      <c r="O37" s="317"/>
      <c r="P37" s="306"/>
      <c r="Q37" s="171"/>
      <c r="R37" s="316"/>
      <c r="S37" s="317"/>
      <c r="T37" s="306"/>
      <c r="U37" s="171"/>
      <c r="V37" s="316"/>
      <c r="W37" s="317"/>
      <c r="X37" s="306"/>
      <c r="Y37" s="171"/>
      <c r="Z37" s="316"/>
      <c r="AA37" s="317"/>
      <c r="AB37" s="306"/>
      <c r="AC37" s="171"/>
      <c r="AD37" s="316"/>
      <c r="AE37" s="317"/>
      <c r="AF37" s="306"/>
      <c r="AG37" s="171"/>
      <c r="AH37" s="316"/>
      <c r="AI37" s="317"/>
      <c r="AJ37" s="306"/>
      <c r="AK37" s="171"/>
      <c r="AL37" s="316"/>
      <c r="AM37" s="317"/>
      <c r="AN37" s="306"/>
      <c r="AO37" s="171"/>
      <c r="AP37" s="316"/>
      <c r="AQ37" s="317"/>
      <c r="AR37" s="306"/>
      <c r="AS37" s="171"/>
      <c r="AT37" s="316"/>
    </row>
    <row r="38" spans="1:46" ht="27" x14ac:dyDescent="0.25">
      <c r="A38" s="301">
        <v>35</v>
      </c>
      <c r="B38" s="293" t="s">
        <v>582</v>
      </c>
      <c r="C38" s="191"/>
      <c r="D38" s="306"/>
      <c r="E38" s="302"/>
      <c r="F38" s="302"/>
      <c r="G38" s="191"/>
      <c r="H38" s="306"/>
      <c r="I38" s="302"/>
      <c r="J38" s="302"/>
      <c r="K38" s="191"/>
      <c r="L38" s="306"/>
      <c r="M38" s="169"/>
      <c r="N38" s="308"/>
      <c r="O38" s="314"/>
      <c r="P38" s="306"/>
      <c r="Q38" s="171"/>
      <c r="R38" s="316"/>
      <c r="S38" s="314"/>
      <c r="T38" s="306"/>
      <c r="U38" s="171"/>
      <c r="V38" s="316"/>
      <c r="W38" s="314"/>
      <c r="X38" s="306"/>
      <c r="Y38" s="171"/>
      <c r="Z38" s="316"/>
      <c r="AA38" s="314"/>
      <c r="AB38" s="306"/>
      <c r="AC38" s="171"/>
      <c r="AD38" s="316"/>
      <c r="AE38" s="314"/>
      <c r="AF38" s="306"/>
      <c r="AG38" s="171"/>
      <c r="AH38" s="316"/>
      <c r="AI38" s="314"/>
      <c r="AJ38" s="306"/>
      <c r="AK38" s="171"/>
      <c r="AL38" s="316"/>
      <c r="AM38" s="314"/>
      <c r="AN38" s="306"/>
      <c r="AO38" s="171"/>
      <c r="AP38" s="316"/>
      <c r="AQ38" s="314"/>
      <c r="AR38" s="306"/>
      <c r="AS38" s="171"/>
      <c r="AT38" s="316"/>
    </row>
    <row r="39" spans="1:46" ht="27" x14ac:dyDescent="0.25">
      <c r="A39" s="301">
        <v>36</v>
      </c>
      <c r="B39" s="293" t="s">
        <v>589</v>
      </c>
      <c r="C39" s="191"/>
      <c r="D39" s="306"/>
      <c r="E39" s="302"/>
      <c r="F39" s="302"/>
      <c r="G39" s="191"/>
      <c r="H39" s="306"/>
      <c r="I39" s="302"/>
      <c r="J39" s="302"/>
      <c r="K39" s="191"/>
      <c r="L39" s="306"/>
      <c r="M39" s="169"/>
      <c r="N39" s="308"/>
      <c r="O39" s="314"/>
      <c r="P39" s="306"/>
      <c r="Q39" s="171"/>
      <c r="R39" s="316"/>
      <c r="S39" s="314"/>
      <c r="T39" s="306"/>
      <c r="U39" s="171"/>
      <c r="V39" s="316"/>
      <c r="W39" s="314"/>
      <c r="X39" s="306"/>
      <c r="Y39" s="171"/>
      <c r="Z39" s="316"/>
      <c r="AA39" s="314"/>
      <c r="AB39" s="306"/>
      <c r="AC39" s="171"/>
      <c r="AD39" s="316"/>
      <c r="AE39" s="314"/>
      <c r="AF39" s="306"/>
      <c r="AG39" s="171"/>
      <c r="AH39" s="316"/>
      <c r="AI39" s="314"/>
      <c r="AJ39" s="306"/>
      <c r="AK39" s="171"/>
      <c r="AL39" s="316"/>
      <c r="AM39" s="314"/>
      <c r="AN39" s="306"/>
      <c r="AO39" s="171"/>
      <c r="AP39" s="316"/>
      <c r="AQ39" s="314"/>
      <c r="AR39" s="306"/>
      <c r="AS39" s="171"/>
      <c r="AT39" s="316"/>
    </row>
    <row r="40" spans="1:46" ht="40.5" x14ac:dyDescent="0.25">
      <c r="A40" s="301">
        <v>37</v>
      </c>
      <c r="B40" s="293" t="s">
        <v>604</v>
      </c>
      <c r="C40" s="191"/>
      <c r="D40" s="306"/>
      <c r="E40" s="302"/>
      <c r="F40" s="302"/>
      <c r="G40" s="191"/>
      <c r="H40" s="306"/>
      <c r="I40" s="302"/>
      <c r="J40" s="302"/>
      <c r="K40" s="191"/>
      <c r="L40" s="306"/>
      <c r="M40" s="169"/>
      <c r="N40" s="308"/>
      <c r="O40" s="314"/>
      <c r="P40" s="306"/>
      <c r="Q40" s="171"/>
      <c r="R40" s="316"/>
      <c r="S40" s="314"/>
      <c r="T40" s="306"/>
      <c r="U40" s="171"/>
      <c r="V40" s="316"/>
      <c r="W40" s="314"/>
      <c r="X40" s="306"/>
      <c r="Y40" s="171"/>
      <c r="Z40" s="316"/>
      <c r="AA40" s="314"/>
      <c r="AB40" s="306"/>
      <c r="AC40" s="171"/>
      <c r="AD40" s="316"/>
      <c r="AE40" s="314"/>
      <c r="AF40" s="306"/>
      <c r="AG40" s="171"/>
      <c r="AH40" s="316"/>
      <c r="AI40" s="314"/>
      <c r="AJ40" s="306"/>
      <c r="AK40" s="171"/>
      <c r="AL40" s="316"/>
      <c r="AM40" s="314"/>
      <c r="AN40" s="306"/>
      <c r="AO40" s="171"/>
      <c r="AP40" s="316"/>
      <c r="AQ40" s="314"/>
      <c r="AR40" s="306"/>
      <c r="AS40" s="171"/>
      <c r="AT40" s="316"/>
    </row>
    <row r="41" spans="1:46" ht="27" x14ac:dyDescent="0.25">
      <c r="A41" s="301">
        <v>38</v>
      </c>
      <c r="B41" s="293" t="s">
        <v>619</v>
      </c>
      <c r="C41" s="187"/>
      <c r="D41" s="306"/>
      <c r="E41" s="302"/>
      <c r="F41" s="302"/>
      <c r="G41" s="187"/>
      <c r="H41" s="306"/>
      <c r="I41" s="302"/>
      <c r="J41" s="302"/>
      <c r="K41" s="187"/>
      <c r="L41" s="306"/>
      <c r="M41" s="169"/>
      <c r="N41" s="308"/>
      <c r="O41" s="318"/>
      <c r="P41" s="306"/>
      <c r="Q41" s="171"/>
      <c r="R41" s="316"/>
      <c r="S41" s="318"/>
      <c r="T41" s="306"/>
      <c r="U41" s="171"/>
      <c r="V41" s="316"/>
      <c r="W41" s="318"/>
      <c r="X41" s="306"/>
      <c r="Y41" s="171"/>
      <c r="Z41" s="316"/>
      <c r="AA41" s="318"/>
      <c r="AB41" s="306"/>
      <c r="AC41" s="171"/>
      <c r="AD41" s="316"/>
      <c r="AE41" s="318"/>
      <c r="AF41" s="306"/>
      <c r="AG41" s="171"/>
      <c r="AH41" s="316"/>
      <c r="AI41" s="318"/>
      <c r="AJ41" s="306"/>
      <c r="AK41" s="171"/>
      <c r="AL41" s="316"/>
      <c r="AM41" s="318"/>
      <c r="AN41" s="306"/>
      <c r="AO41" s="171"/>
      <c r="AP41" s="316"/>
      <c r="AQ41" s="318"/>
      <c r="AR41" s="306"/>
      <c r="AS41" s="171"/>
      <c r="AT41" s="316"/>
    </row>
    <row r="42" spans="1:46" ht="40.5" x14ac:dyDescent="0.25">
      <c r="A42" s="301">
        <v>39</v>
      </c>
      <c r="B42" s="293" t="s">
        <v>632</v>
      </c>
      <c r="C42" s="191"/>
      <c r="D42" s="306"/>
      <c r="E42" s="302"/>
      <c r="F42" s="302"/>
      <c r="G42" s="191"/>
      <c r="H42" s="306"/>
      <c r="I42" s="302"/>
      <c r="J42" s="302"/>
      <c r="K42" s="191"/>
      <c r="L42" s="306"/>
      <c r="M42" s="169"/>
      <c r="N42" s="308"/>
      <c r="O42" s="314"/>
      <c r="P42" s="306"/>
      <c r="Q42" s="171"/>
      <c r="R42" s="316"/>
      <c r="S42" s="314"/>
      <c r="T42" s="306"/>
      <c r="U42" s="171"/>
      <c r="V42" s="316"/>
      <c r="W42" s="314"/>
      <c r="X42" s="306"/>
      <c r="Y42" s="171"/>
      <c r="Z42" s="316"/>
      <c r="AA42" s="314"/>
      <c r="AB42" s="306"/>
      <c r="AC42" s="171"/>
      <c r="AD42" s="316"/>
      <c r="AE42" s="314"/>
      <c r="AF42" s="306"/>
      <c r="AG42" s="171"/>
      <c r="AH42" s="316"/>
      <c r="AI42" s="314"/>
      <c r="AJ42" s="306"/>
      <c r="AK42" s="171"/>
      <c r="AL42" s="316"/>
      <c r="AM42" s="314"/>
      <c r="AN42" s="306"/>
      <c r="AO42" s="171"/>
      <c r="AP42" s="316"/>
      <c r="AQ42" s="314"/>
      <c r="AR42" s="306"/>
      <c r="AS42" s="171"/>
      <c r="AT42" s="316"/>
    </row>
    <row r="43" spans="1:46" ht="81" x14ac:dyDescent="0.25">
      <c r="A43" s="301">
        <v>40</v>
      </c>
      <c r="B43" s="293" t="s">
        <v>643</v>
      </c>
      <c r="C43" s="191"/>
      <c r="D43" s="306"/>
      <c r="E43" s="302"/>
      <c r="F43" s="302"/>
      <c r="G43" s="191"/>
      <c r="H43" s="306"/>
      <c r="I43" s="302"/>
      <c r="J43" s="302"/>
      <c r="K43" s="191"/>
      <c r="L43" s="306"/>
      <c r="M43" s="169"/>
      <c r="N43" s="308"/>
      <c r="O43" s="314"/>
      <c r="P43" s="306"/>
      <c r="Q43" s="191"/>
      <c r="R43" s="316"/>
      <c r="S43" s="314"/>
      <c r="T43" s="306"/>
      <c r="U43" s="191"/>
      <c r="V43" s="316"/>
      <c r="W43" s="314"/>
      <c r="X43" s="306"/>
      <c r="Y43" s="191"/>
      <c r="Z43" s="316"/>
      <c r="AA43" s="314"/>
      <c r="AB43" s="306"/>
      <c r="AC43" s="191"/>
      <c r="AD43" s="316"/>
      <c r="AE43" s="314"/>
      <c r="AF43" s="306"/>
      <c r="AG43" s="191"/>
      <c r="AH43" s="316"/>
      <c r="AI43" s="314"/>
      <c r="AJ43" s="306"/>
      <c r="AK43" s="191"/>
      <c r="AL43" s="316"/>
      <c r="AM43" s="314"/>
      <c r="AN43" s="306"/>
      <c r="AO43" s="191"/>
      <c r="AP43" s="316"/>
      <c r="AQ43" s="314"/>
      <c r="AR43" s="306"/>
      <c r="AS43" s="191"/>
      <c r="AT43" s="316"/>
    </row>
    <row r="44" spans="1:46" ht="27" x14ac:dyDescent="0.25">
      <c r="A44" s="301">
        <v>41</v>
      </c>
      <c r="B44" s="292" t="s">
        <v>654</v>
      </c>
      <c r="C44" s="167"/>
      <c r="D44" s="306"/>
      <c r="E44" s="302"/>
      <c r="F44" s="302"/>
      <c r="G44" s="167"/>
      <c r="H44" s="306"/>
      <c r="I44" s="302"/>
      <c r="J44" s="302"/>
      <c r="K44" s="167"/>
      <c r="L44" s="306"/>
      <c r="M44" s="169"/>
      <c r="N44" s="308"/>
      <c r="O44" s="321"/>
      <c r="P44" s="306"/>
      <c r="Q44" s="171"/>
      <c r="R44" s="316"/>
      <c r="S44" s="321"/>
      <c r="T44" s="306"/>
      <c r="U44" s="171"/>
      <c r="V44" s="316"/>
      <c r="W44" s="321"/>
      <c r="X44" s="306"/>
      <c r="Y44" s="171"/>
      <c r="Z44" s="316"/>
      <c r="AA44" s="321"/>
      <c r="AB44" s="306"/>
      <c r="AC44" s="171"/>
      <c r="AD44" s="316"/>
      <c r="AE44" s="321"/>
      <c r="AF44" s="306"/>
      <c r="AG44" s="171"/>
      <c r="AH44" s="316"/>
      <c r="AI44" s="321"/>
      <c r="AJ44" s="306"/>
      <c r="AK44" s="171"/>
      <c r="AL44" s="316"/>
      <c r="AM44" s="321"/>
      <c r="AN44" s="306"/>
      <c r="AO44" s="171"/>
      <c r="AP44" s="316"/>
      <c r="AQ44" s="321"/>
      <c r="AR44" s="306"/>
      <c r="AS44" s="171"/>
      <c r="AT44" s="316"/>
    </row>
    <row r="45" spans="1:46" ht="40.5" x14ac:dyDescent="0.25">
      <c r="A45" s="301">
        <v>42</v>
      </c>
      <c r="B45" s="292" t="s">
        <v>665</v>
      </c>
      <c r="C45" s="167"/>
      <c r="D45" s="306"/>
      <c r="E45" s="302"/>
      <c r="F45" s="302"/>
      <c r="G45" s="167"/>
      <c r="H45" s="306"/>
      <c r="I45" s="302"/>
      <c r="J45" s="302"/>
      <c r="K45" s="167"/>
      <c r="L45" s="306"/>
      <c r="M45" s="169"/>
      <c r="N45" s="308"/>
      <c r="O45" s="321"/>
      <c r="P45" s="306"/>
      <c r="Q45" s="171"/>
      <c r="R45" s="316"/>
      <c r="S45" s="321"/>
      <c r="T45" s="306"/>
      <c r="U45" s="171"/>
      <c r="V45" s="316"/>
      <c r="W45" s="321"/>
      <c r="X45" s="306"/>
      <c r="Y45" s="171"/>
      <c r="Z45" s="316"/>
      <c r="AA45" s="321"/>
      <c r="AB45" s="306"/>
      <c r="AC45" s="171"/>
      <c r="AD45" s="316"/>
      <c r="AE45" s="321"/>
      <c r="AF45" s="306"/>
      <c r="AG45" s="171"/>
      <c r="AH45" s="316"/>
      <c r="AI45" s="321"/>
      <c r="AJ45" s="306"/>
      <c r="AK45" s="171"/>
      <c r="AL45" s="316"/>
      <c r="AM45" s="321"/>
      <c r="AN45" s="306"/>
      <c r="AO45" s="171"/>
      <c r="AP45" s="316"/>
      <c r="AQ45" s="321"/>
      <c r="AR45" s="306"/>
      <c r="AS45" s="171"/>
      <c r="AT45" s="316"/>
    </row>
    <row r="46" spans="1:46" ht="40.5" x14ac:dyDescent="0.25">
      <c r="A46" s="301">
        <v>43</v>
      </c>
      <c r="B46" s="292" t="s">
        <v>672</v>
      </c>
      <c r="C46" s="167"/>
      <c r="D46" s="306"/>
      <c r="E46" s="302"/>
      <c r="F46" s="302"/>
      <c r="G46" s="167"/>
      <c r="H46" s="306"/>
      <c r="I46" s="302"/>
      <c r="J46" s="302"/>
      <c r="K46" s="167"/>
      <c r="L46" s="306"/>
      <c r="M46" s="169"/>
      <c r="N46" s="308"/>
      <c r="O46" s="321"/>
      <c r="P46" s="306"/>
      <c r="Q46" s="171"/>
      <c r="R46" s="316"/>
      <c r="S46" s="321"/>
      <c r="T46" s="306"/>
      <c r="U46" s="171"/>
      <c r="V46" s="316"/>
      <c r="W46" s="321"/>
      <c r="X46" s="306"/>
      <c r="Y46" s="171"/>
      <c r="Z46" s="316"/>
      <c r="AA46" s="321"/>
      <c r="AB46" s="306"/>
      <c r="AC46" s="171"/>
      <c r="AD46" s="316"/>
      <c r="AE46" s="321"/>
      <c r="AF46" s="306"/>
      <c r="AG46" s="171"/>
      <c r="AH46" s="316"/>
      <c r="AI46" s="321"/>
      <c r="AJ46" s="306"/>
      <c r="AK46" s="171"/>
      <c r="AL46" s="316"/>
      <c r="AM46" s="321"/>
      <c r="AN46" s="306"/>
      <c r="AO46" s="171"/>
      <c r="AP46" s="316"/>
      <c r="AQ46" s="321"/>
      <c r="AR46" s="306"/>
      <c r="AS46" s="171"/>
      <c r="AT46" s="316"/>
    </row>
    <row r="47" spans="1:46" ht="27" x14ac:dyDescent="0.25">
      <c r="A47" s="301">
        <v>44</v>
      </c>
      <c r="B47" s="292" t="s">
        <v>682</v>
      </c>
      <c r="C47" s="167"/>
      <c r="D47" s="306"/>
      <c r="E47" s="302"/>
      <c r="F47" s="302"/>
      <c r="G47" s="167"/>
      <c r="H47" s="306"/>
      <c r="I47" s="302"/>
      <c r="J47" s="302"/>
      <c r="K47" s="167"/>
      <c r="L47" s="306"/>
      <c r="M47" s="169"/>
      <c r="N47" s="308"/>
      <c r="O47" s="321"/>
      <c r="P47" s="306"/>
      <c r="Q47" s="171"/>
      <c r="R47" s="316"/>
      <c r="S47" s="321"/>
      <c r="T47" s="306"/>
      <c r="U47" s="171"/>
      <c r="V47" s="316"/>
      <c r="W47" s="321"/>
      <c r="X47" s="306"/>
      <c r="Y47" s="171"/>
      <c r="Z47" s="316"/>
      <c r="AA47" s="321"/>
      <c r="AB47" s="306"/>
      <c r="AC47" s="171"/>
      <c r="AD47" s="316"/>
      <c r="AE47" s="321"/>
      <c r="AF47" s="306"/>
      <c r="AG47" s="171"/>
      <c r="AH47" s="316"/>
      <c r="AI47" s="321"/>
      <c r="AJ47" s="306"/>
      <c r="AK47" s="171"/>
      <c r="AL47" s="316"/>
      <c r="AM47" s="321"/>
      <c r="AN47" s="306"/>
      <c r="AO47" s="171"/>
      <c r="AP47" s="316"/>
      <c r="AQ47" s="321"/>
      <c r="AR47" s="306"/>
      <c r="AS47" s="171"/>
      <c r="AT47" s="316"/>
    </row>
    <row r="48" spans="1:46" ht="27" x14ac:dyDescent="0.25">
      <c r="A48" s="301">
        <v>45</v>
      </c>
      <c r="B48" s="292" t="s">
        <v>689</v>
      </c>
      <c r="C48" s="167"/>
      <c r="D48" s="306"/>
      <c r="E48" s="302"/>
      <c r="F48" s="302"/>
      <c r="G48" s="167"/>
      <c r="H48" s="306"/>
      <c r="I48" s="302"/>
      <c r="J48" s="302"/>
      <c r="K48" s="167"/>
      <c r="L48" s="306"/>
      <c r="M48" s="169"/>
      <c r="N48" s="308"/>
      <c r="O48" s="321"/>
      <c r="P48" s="306"/>
      <c r="Q48" s="171"/>
      <c r="R48" s="316"/>
      <c r="S48" s="321"/>
      <c r="T48" s="306"/>
      <c r="U48" s="171"/>
      <c r="V48" s="316"/>
      <c r="W48" s="321"/>
      <c r="X48" s="306"/>
      <c r="Y48" s="171"/>
      <c r="Z48" s="316"/>
      <c r="AA48" s="321"/>
      <c r="AB48" s="306"/>
      <c r="AC48" s="171"/>
      <c r="AD48" s="316"/>
      <c r="AE48" s="321"/>
      <c r="AF48" s="306"/>
      <c r="AG48" s="171"/>
      <c r="AH48" s="316"/>
      <c r="AI48" s="321"/>
      <c r="AJ48" s="306"/>
      <c r="AK48" s="171"/>
      <c r="AL48" s="316"/>
      <c r="AM48" s="321"/>
      <c r="AN48" s="306"/>
      <c r="AO48" s="171"/>
      <c r="AP48" s="316"/>
      <c r="AQ48" s="321"/>
      <c r="AR48" s="306"/>
      <c r="AS48" s="171"/>
      <c r="AT48" s="316"/>
    </row>
    <row r="49" spans="1:46" ht="40.5" x14ac:dyDescent="0.25">
      <c r="A49" s="301">
        <v>46</v>
      </c>
      <c r="B49" s="292" t="s">
        <v>697</v>
      </c>
      <c r="C49" s="167"/>
      <c r="D49" s="306"/>
      <c r="E49" s="302"/>
      <c r="F49" s="302"/>
      <c r="G49" s="167"/>
      <c r="H49" s="306"/>
      <c r="I49" s="302"/>
      <c r="J49" s="302"/>
      <c r="K49" s="167"/>
      <c r="L49" s="306"/>
      <c r="M49" s="169"/>
      <c r="N49" s="308"/>
      <c r="O49" s="321"/>
      <c r="P49" s="306"/>
      <c r="Q49" s="171"/>
      <c r="R49" s="316"/>
      <c r="S49" s="321"/>
      <c r="T49" s="306"/>
      <c r="U49" s="171"/>
      <c r="V49" s="316"/>
      <c r="W49" s="321"/>
      <c r="X49" s="306"/>
      <c r="Y49" s="171"/>
      <c r="Z49" s="316"/>
      <c r="AA49" s="321"/>
      <c r="AB49" s="306"/>
      <c r="AC49" s="171"/>
      <c r="AD49" s="316"/>
      <c r="AE49" s="321"/>
      <c r="AF49" s="306"/>
      <c r="AG49" s="171"/>
      <c r="AH49" s="316"/>
      <c r="AI49" s="321"/>
      <c r="AJ49" s="306"/>
      <c r="AK49" s="171"/>
      <c r="AL49" s="316"/>
      <c r="AM49" s="321"/>
      <c r="AN49" s="306"/>
      <c r="AO49" s="171"/>
      <c r="AP49" s="316"/>
      <c r="AQ49" s="321"/>
      <c r="AR49" s="306"/>
      <c r="AS49" s="171"/>
      <c r="AT49" s="316"/>
    </row>
    <row r="50" spans="1:46" ht="27" x14ac:dyDescent="0.25">
      <c r="A50" s="301">
        <v>47</v>
      </c>
      <c r="B50" s="292" t="s">
        <v>705</v>
      </c>
      <c r="C50" s="173"/>
      <c r="D50" s="306"/>
      <c r="E50" s="302"/>
      <c r="F50" s="302"/>
      <c r="G50" s="173"/>
      <c r="H50" s="306"/>
      <c r="I50" s="302"/>
      <c r="J50" s="302"/>
      <c r="K50" s="173"/>
      <c r="L50" s="306"/>
      <c r="M50" s="169"/>
      <c r="N50" s="308"/>
      <c r="O50" s="325"/>
      <c r="P50" s="306"/>
      <c r="Q50" s="171"/>
      <c r="R50" s="316"/>
      <c r="S50" s="325"/>
      <c r="T50" s="306"/>
      <c r="U50" s="171"/>
      <c r="V50" s="316"/>
      <c r="W50" s="325"/>
      <c r="X50" s="306"/>
      <c r="Y50" s="171"/>
      <c r="Z50" s="316"/>
      <c r="AA50" s="325"/>
      <c r="AB50" s="306"/>
      <c r="AC50" s="171"/>
      <c r="AD50" s="316"/>
      <c r="AE50" s="325"/>
      <c r="AF50" s="306"/>
      <c r="AG50" s="171"/>
      <c r="AH50" s="316"/>
      <c r="AI50" s="325"/>
      <c r="AJ50" s="306"/>
      <c r="AK50" s="171"/>
      <c r="AL50" s="316"/>
      <c r="AM50" s="325"/>
      <c r="AN50" s="306"/>
      <c r="AO50" s="171"/>
      <c r="AP50" s="316"/>
      <c r="AQ50" s="325"/>
      <c r="AR50" s="306"/>
      <c r="AS50" s="171"/>
      <c r="AT50" s="316"/>
    </row>
    <row r="51" spans="1:46" ht="27" x14ac:dyDescent="0.25">
      <c r="A51" s="301">
        <v>48</v>
      </c>
      <c r="B51" s="292" t="s">
        <v>719</v>
      </c>
      <c r="C51" s="173"/>
      <c r="D51" s="306"/>
      <c r="E51" s="302"/>
      <c r="F51" s="302"/>
      <c r="G51" s="173"/>
      <c r="H51" s="306"/>
      <c r="I51" s="302"/>
      <c r="J51" s="302"/>
      <c r="K51" s="173"/>
      <c r="L51" s="306"/>
      <c r="M51" s="169"/>
      <c r="N51" s="308"/>
      <c r="O51" s="325"/>
      <c r="P51" s="306"/>
      <c r="Q51" s="171"/>
      <c r="R51" s="316"/>
      <c r="S51" s="325"/>
      <c r="T51" s="306"/>
      <c r="U51" s="171"/>
      <c r="V51" s="316"/>
      <c r="W51" s="325"/>
      <c r="X51" s="306"/>
      <c r="Y51" s="171"/>
      <c r="Z51" s="316"/>
      <c r="AA51" s="325"/>
      <c r="AB51" s="306"/>
      <c r="AC51" s="171"/>
      <c r="AD51" s="316"/>
      <c r="AE51" s="325"/>
      <c r="AF51" s="306"/>
      <c r="AG51" s="171"/>
      <c r="AH51" s="316"/>
      <c r="AI51" s="325"/>
      <c r="AJ51" s="306"/>
      <c r="AK51" s="171"/>
      <c r="AL51" s="316"/>
      <c r="AM51" s="325"/>
      <c r="AN51" s="306"/>
      <c r="AO51" s="171"/>
      <c r="AP51" s="316"/>
      <c r="AQ51" s="325"/>
      <c r="AR51" s="306"/>
      <c r="AS51" s="171"/>
      <c r="AT51" s="316"/>
    </row>
    <row r="52" spans="1:46" ht="27" x14ac:dyDescent="0.25">
      <c r="A52" s="301">
        <v>49</v>
      </c>
      <c r="B52" s="292" t="s">
        <v>732</v>
      </c>
      <c r="C52" s="187"/>
      <c r="D52" s="306"/>
      <c r="E52" s="302"/>
      <c r="F52" s="302"/>
      <c r="G52" s="187"/>
      <c r="H52" s="306"/>
      <c r="I52" s="302"/>
      <c r="J52" s="302"/>
      <c r="K52" s="187"/>
      <c r="L52" s="306"/>
      <c r="M52" s="169"/>
      <c r="N52" s="308"/>
      <c r="O52" s="318"/>
      <c r="P52" s="306"/>
      <c r="Q52" s="171"/>
      <c r="R52" s="316"/>
      <c r="S52" s="318"/>
      <c r="T52" s="306"/>
      <c r="U52" s="171"/>
      <c r="V52" s="316"/>
      <c r="W52" s="318"/>
      <c r="X52" s="306"/>
      <c r="Y52" s="171"/>
      <c r="Z52" s="316"/>
      <c r="AA52" s="318"/>
      <c r="AB52" s="306"/>
      <c r="AC52" s="171"/>
      <c r="AD52" s="316"/>
      <c r="AE52" s="318"/>
      <c r="AF52" s="306"/>
      <c r="AG52" s="171"/>
      <c r="AH52" s="316"/>
      <c r="AI52" s="318"/>
      <c r="AJ52" s="306"/>
      <c r="AK52" s="171"/>
      <c r="AL52" s="316"/>
      <c r="AM52" s="318"/>
      <c r="AN52" s="306"/>
      <c r="AO52" s="171"/>
      <c r="AP52" s="316"/>
      <c r="AQ52" s="318"/>
      <c r="AR52" s="306"/>
      <c r="AS52" s="171"/>
      <c r="AT52" s="316"/>
    </row>
    <row r="53" spans="1:46" ht="27" x14ac:dyDescent="0.25">
      <c r="A53" s="301">
        <v>50</v>
      </c>
      <c r="B53" s="292" t="s">
        <v>742</v>
      </c>
      <c r="C53" s="172"/>
      <c r="D53" s="306"/>
      <c r="E53" s="302"/>
      <c r="F53" s="302"/>
      <c r="G53" s="172"/>
      <c r="H53" s="306"/>
      <c r="I53" s="302"/>
      <c r="J53" s="302"/>
      <c r="K53" s="172"/>
      <c r="L53" s="306"/>
      <c r="M53" s="169"/>
      <c r="N53" s="308"/>
      <c r="O53" s="322"/>
      <c r="P53" s="306"/>
      <c r="Q53" s="171"/>
      <c r="R53" s="316"/>
      <c r="S53" s="322"/>
      <c r="T53" s="306"/>
      <c r="U53" s="171"/>
      <c r="V53" s="316"/>
      <c r="W53" s="322"/>
      <c r="X53" s="306"/>
      <c r="Y53" s="171"/>
      <c r="Z53" s="316"/>
      <c r="AA53" s="322"/>
      <c r="AB53" s="306"/>
      <c r="AC53" s="171"/>
      <c r="AD53" s="316"/>
      <c r="AE53" s="322"/>
      <c r="AF53" s="306"/>
      <c r="AG53" s="171"/>
      <c r="AH53" s="316"/>
      <c r="AI53" s="322"/>
      <c r="AJ53" s="306"/>
      <c r="AK53" s="171"/>
      <c r="AL53" s="316"/>
      <c r="AM53" s="322"/>
      <c r="AN53" s="306"/>
      <c r="AO53" s="171"/>
      <c r="AP53" s="316"/>
      <c r="AQ53" s="322"/>
      <c r="AR53" s="306"/>
      <c r="AS53" s="171"/>
      <c r="AT53" s="316"/>
    </row>
    <row r="54" spans="1:46" ht="27" x14ac:dyDescent="0.25">
      <c r="A54" s="301">
        <v>51</v>
      </c>
      <c r="B54" s="292" t="s">
        <v>753</v>
      </c>
      <c r="C54" s="173"/>
      <c r="D54" s="306"/>
      <c r="E54" s="302"/>
      <c r="F54" s="302"/>
      <c r="G54" s="173"/>
      <c r="H54" s="306"/>
      <c r="I54" s="302"/>
      <c r="J54" s="302"/>
      <c r="K54" s="173"/>
      <c r="L54" s="306"/>
      <c r="M54" s="169"/>
      <c r="N54" s="308"/>
      <c r="O54" s="325"/>
      <c r="P54" s="306"/>
      <c r="Q54" s="171"/>
      <c r="R54" s="316"/>
      <c r="S54" s="325"/>
      <c r="T54" s="306"/>
      <c r="U54" s="171"/>
      <c r="V54" s="316"/>
      <c r="W54" s="325"/>
      <c r="X54" s="306"/>
      <c r="Y54" s="171"/>
      <c r="Z54" s="316"/>
      <c r="AA54" s="325"/>
      <c r="AB54" s="306"/>
      <c r="AC54" s="171"/>
      <c r="AD54" s="316"/>
      <c r="AE54" s="325"/>
      <c r="AF54" s="306"/>
      <c r="AG54" s="171"/>
      <c r="AH54" s="316"/>
      <c r="AI54" s="325"/>
      <c r="AJ54" s="306"/>
      <c r="AK54" s="171"/>
      <c r="AL54" s="316"/>
      <c r="AM54" s="325"/>
      <c r="AN54" s="306"/>
      <c r="AO54" s="171"/>
      <c r="AP54" s="316"/>
      <c r="AQ54" s="325"/>
      <c r="AR54" s="306"/>
      <c r="AS54" s="171"/>
      <c r="AT54" s="316"/>
    </row>
    <row r="55" spans="1:46" ht="27" x14ac:dyDescent="0.25">
      <c r="A55" s="301">
        <v>52</v>
      </c>
      <c r="B55" s="292" t="s">
        <v>764</v>
      </c>
      <c r="C55" s="173"/>
      <c r="D55" s="306"/>
      <c r="E55" s="302"/>
      <c r="F55" s="302"/>
      <c r="G55" s="173"/>
      <c r="H55" s="306"/>
      <c r="I55" s="302"/>
      <c r="J55" s="302"/>
      <c r="K55" s="173"/>
      <c r="L55" s="306"/>
      <c r="M55" s="169"/>
      <c r="N55" s="308"/>
      <c r="O55" s="325"/>
      <c r="P55" s="306"/>
      <c r="Q55" s="171"/>
      <c r="R55" s="316"/>
      <c r="S55" s="325"/>
      <c r="T55" s="306"/>
      <c r="U55" s="171"/>
      <c r="V55" s="316"/>
      <c r="W55" s="325"/>
      <c r="X55" s="306"/>
      <c r="Y55" s="171"/>
      <c r="Z55" s="316"/>
      <c r="AA55" s="325"/>
      <c r="AB55" s="306"/>
      <c r="AC55" s="171"/>
      <c r="AD55" s="316"/>
      <c r="AE55" s="325"/>
      <c r="AF55" s="306"/>
      <c r="AG55" s="171"/>
      <c r="AH55" s="316"/>
      <c r="AI55" s="325"/>
      <c r="AJ55" s="306"/>
      <c r="AK55" s="171"/>
      <c r="AL55" s="316"/>
      <c r="AM55" s="325"/>
      <c r="AN55" s="306"/>
      <c r="AO55" s="171"/>
      <c r="AP55" s="316"/>
      <c r="AQ55" s="325"/>
      <c r="AR55" s="306"/>
      <c r="AS55" s="171"/>
      <c r="AT55" s="316"/>
    </row>
    <row r="56" spans="1:46" ht="27" x14ac:dyDescent="0.25">
      <c r="A56" s="301">
        <v>53</v>
      </c>
      <c r="B56" s="292" t="s">
        <v>775</v>
      </c>
      <c r="C56" s="173"/>
      <c r="D56" s="306"/>
      <c r="E56" s="302"/>
      <c r="F56" s="302"/>
      <c r="G56" s="173"/>
      <c r="H56" s="306"/>
      <c r="I56" s="302"/>
      <c r="J56" s="302"/>
      <c r="K56" s="173"/>
      <c r="L56" s="306"/>
      <c r="M56" s="169"/>
      <c r="N56" s="308"/>
      <c r="O56" s="325"/>
      <c r="P56" s="306"/>
      <c r="Q56" s="176"/>
      <c r="R56" s="316"/>
      <c r="S56" s="325"/>
      <c r="T56" s="306"/>
      <c r="U56" s="176"/>
      <c r="V56" s="316"/>
      <c r="W56" s="325"/>
      <c r="X56" s="306"/>
      <c r="Y56" s="176"/>
      <c r="Z56" s="316"/>
      <c r="AA56" s="325"/>
      <c r="AB56" s="306"/>
      <c r="AC56" s="176"/>
      <c r="AD56" s="316"/>
      <c r="AE56" s="325"/>
      <c r="AF56" s="306"/>
      <c r="AG56" s="176"/>
      <c r="AH56" s="316"/>
      <c r="AI56" s="325"/>
      <c r="AJ56" s="306"/>
      <c r="AK56" s="176"/>
      <c r="AL56" s="316"/>
      <c r="AM56" s="325"/>
      <c r="AN56" s="306"/>
      <c r="AO56" s="176"/>
      <c r="AP56" s="316"/>
      <c r="AQ56" s="325"/>
      <c r="AR56" s="306"/>
      <c r="AS56" s="176"/>
      <c r="AT56" s="316"/>
    </row>
    <row r="57" spans="1:46" ht="27" x14ac:dyDescent="0.25">
      <c r="A57" s="301">
        <v>54</v>
      </c>
      <c r="B57" s="292" t="s">
        <v>786</v>
      </c>
      <c r="C57" s="173"/>
      <c r="D57" s="306"/>
      <c r="E57" s="302"/>
      <c r="F57" s="302"/>
      <c r="G57" s="173"/>
      <c r="H57" s="306"/>
      <c r="I57" s="302"/>
      <c r="J57" s="302"/>
      <c r="K57" s="173"/>
      <c r="L57" s="306"/>
      <c r="M57" s="169"/>
      <c r="N57" s="308"/>
      <c r="O57" s="325"/>
      <c r="P57" s="306"/>
      <c r="Q57" s="176"/>
      <c r="R57" s="316"/>
      <c r="S57" s="325"/>
      <c r="T57" s="306"/>
      <c r="U57" s="176"/>
      <c r="V57" s="316"/>
      <c r="W57" s="325"/>
      <c r="X57" s="306"/>
      <c r="Y57" s="176"/>
      <c r="Z57" s="316"/>
      <c r="AA57" s="325"/>
      <c r="AB57" s="306"/>
      <c r="AC57" s="176"/>
      <c r="AD57" s="316"/>
      <c r="AE57" s="325"/>
      <c r="AF57" s="306"/>
      <c r="AG57" s="176"/>
      <c r="AH57" s="316"/>
      <c r="AI57" s="325"/>
      <c r="AJ57" s="306"/>
      <c r="AK57" s="176"/>
      <c r="AL57" s="316"/>
      <c r="AM57" s="325"/>
      <c r="AN57" s="306"/>
      <c r="AO57" s="176"/>
      <c r="AP57" s="316"/>
      <c r="AQ57" s="325"/>
      <c r="AR57" s="306"/>
      <c r="AS57" s="176"/>
      <c r="AT57" s="316"/>
    </row>
    <row r="58" spans="1:46" ht="40.5" x14ac:dyDescent="0.25">
      <c r="A58" s="301">
        <v>55</v>
      </c>
      <c r="B58" s="292" t="s">
        <v>793</v>
      </c>
      <c r="C58" s="173"/>
      <c r="D58" s="306"/>
      <c r="E58" s="302"/>
      <c r="F58" s="302"/>
      <c r="G58" s="173"/>
      <c r="H58" s="306"/>
      <c r="I58" s="302"/>
      <c r="J58" s="302"/>
      <c r="K58" s="173"/>
      <c r="L58" s="306"/>
      <c r="M58" s="169"/>
      <c r="N58" s="308"/>
      <c r="O58" s="325"/>
      <c r="P58" s="306"/>
      <c r="Q58" s="176"/>
      <c r="R58" s="316"/>
      <c r="S58" s="325"/>
      <c r="T58" s="306"/>
      <c r="U58" s="176"/>
      <c r="V58" s="316"/>
      <c r="W58" s="325"/>
      <c r="X58" s="306"/>
      <c r="Y58" s="176"/>
      <c r="Z58" s="316"/>
      <c r="AA58" s="325"/>
      <c r="AB58" s="306"/>
      <c r="AC58" s="176"/>
      <c r="AD58" s="316"/>
      <c r="AE58" s="325"/>
      <c r="AF58" s="306"/>
      <c r="AG58" s="176"/>
      <c r="AH58" s="316"/>
      <c r="AI58" s="325"/>
      <c r="AJ58" s="306"/>
      <c r="AK58" s="176"/>
      <c r="AL58" s="316"/>
      <c r="AM58" s="325"/>
      <c r="AN58" s="306"/>
      <c r="AO58" s="176"/>
      <c r="AP58" s="316"/>
      <c r="AQ58" s="325"/>
      <c r="AR58" s="306"/>
      <c r="AS58" s="176"/>
      <c r="AT58" s="316"/>
    </row>
    <row r="59" spans="1:46" ht="27" x14ac:dyDescent="0.25">
      <c r="A59" s="301">
        <v>56</v>
      </c>
      <c r="B59" s="292" t="s">
        <v>800</v>
      </c>
      <c r="C59" s="173"/>
      <c r="D59" s="306"/>
      <c r="E59" s="302"/>
      <c r="F59" s="302"/>
      <c r="G59" s="173"/>
      <c r="H59" s="306"/>
      <c r="I59" s="302"/>
      <c r="J59" s="302"/>
      <c r="K59" s="173"/>
      <c r="L59" s="306"/>
      <c r="M59" s="169"/>
      <c r="N59" s="308"/>
      <c r="O59" s="325"/>
      <c r="P59" s="306"/>
      <c r="Q59" s="176"/>
      <c r="R59" s="316"/>
      <c r="S59" s="325"/>
      <c r="T59" s="306"/>
      <c r="U59" s="176"/>
      <c r="V59" s="316"/>
      <c r="W59" s="325"/>
      <c r="X59" s="306"/>
      <c r="Y59" s="176"/>
      <c r="Z59" s="316"/>
      <c r="AA59" s="325"/>
      <c r="AB59" s="306"/>
      <c r="AC59" s="176"/>
      <c r="AD59" s="316"/>
      <c r="AE59" s="325"/>
      <c r="AF59" s="306"/>
      <c r="AG59" s="176"/>
      <c r="AH59" s="316"/>
      <c r="AI59" s="325"/>
      <c r="AJ59" s="306"/>
      <c r="AK59" s="176"/>
      <c r="AL59" s="316"/>
      <c r="AM59" s="325"/>
      <c r="AN59" s="306"/>
      <c r="AO59" s="176"/>
      <c r="AP59" s="316"/>
      <c r="AQ59" s="325"/>
      <c r="AR59" s="306"/>
      <c r="AS59" s="176"/>
      <c r="AT59" s="316"/>
    </row>
    <row r="60" spans="1:46" ht="27" x14ac:dyDescent="0.25">
      <c r="A60" s="301">
        <v>57</v>
      </c>
      <c r="B60" s="292" t="s">
        <v>813</v>
      </c>
      <c r="C60" s="173"/>
      <c r="D60" s="306"/>
      <c r="E60" s="302"/>
      <c r="F60" s="302"/>
      <c r="G60" s="173"/>
      <c r="H60" s="306"/>
      <c r="I60" s="302"/>
      <c r="J60" s="302"/>
      <c r="K60" s="173"/>
      <c r="L60" s="306"/>
      <c r="M60" s="169"/>
      <c r="N60" s="308"/>
      <c r="O60" s="325"/>
      <c r="P60" s="306"/>
      <c r="Q60" s="176"/>
      <c r="R60" s="316"/>
      <c r="S60" s="325"/>
      <c r="T60" s="306"/>
      <c r="U60" s="176"/>
      <c r="V60" s="316"/>
      <c r="W60" s="325"/>
      <c r="X60" s="306"/>
      <c r="Y60" s="176"/>
      <c r="Z60" s="316"/>
      <c r="AA60" s="325"/>
      <c r="AB60" s="306"/>
      <c r="AC60" s="176"/>
      <c r="AD60" s="316"/>
      <c r="AE60" s="325"/>
      <c r="AF60" s="306"/>
      <c r="AG60" s="176"/>
      <c r="AH60" s="316"/>
      <c r="AI60" s="325"/>
      <c r="AJ60" s="306"/>
      <c r="AK60" s="176"/>
      <c r="AL60" s="316"/>
      <c r="AM60" s="325"/>
      <c r="AN60" s="306"/>
      <c r="AO60" s="176"/>
      <c r="AP60" s="316"/>
      <c r="AQ60" s="325"/>
      <c r="AR60" s="306"/>
      <c r="AS60" s="176"/>
      <c r="AT60" s="316"/>
    </row>
    <row r="61" spans="1:46" ht="40.5" x14ac:dyDescent="0.25">
      <c r="A61" s="301">
        <v>58</v>
      </c>
      <c r="B61" s="292" t="s">
        <v>823</v>
      </c>
      <c r="C61" s="173"/>
      <c r="D61" s="306"/>
      <c r="E61" s="302"/>
      <c r="F61" s="302"/>
      <c r="G61" s="173"/>
      <c r="H61" s="306"/>
      <c r="I61" s="302"/>
      <c r="J61" s="302"/>
      <c r="K61" s="173"/>
      <c r="L61" s="306"/>
      <c r="M61" s="169"/>
      <c r="N61" s="308"/>
      <c r="O61" s="325"/>
      <c r="P61" s="306"/>
      <c r="Q61" s="176"/>
      <c r="R61" s="316"/>
      <c r="S61" s="325"/>
      <c r="T61" s="306"/>
      <c r="U61" s="176"/>
      <c r="V61" s="316"/>
      <c r="W61" s="325"/>
      <c r="X61" s="306"/>
      <c r="Y61" s="176"/>
      <c r="Z61" s="316"/>
      <c r="AA61" s="325"/>
      <c r="AB61" s="306"/>
      <c r="AC61" s="176"/>
      <c r="AD61" s="316"/>
      <c r="AE61" s="325"/>
      <c r="AF61" s="306"/>
      <c r="AG61" s="176"/>
      <c r="AH61" s="316"/>
      <c r="AI61" s="325"/>
      <c r="AJ61" s="306"/>
      <c r="AK61" s="176"/>
      <c r="AL61" s="316"/>
      <c r="AM61" s="325"/>
      <c r="AN61" s="306"/>
      <c r="AO61" s="176"/>
      <c r="AP61" s="316"/>
      <c r="AQ61" s="325"/>
      <c r="AR61" s="306"/>
      <c r="AS61" s="176"/>
      <c r="AT61" s="316"/>
    </row>
    <row r="62" spans="1:46" ht="40.5" x14ac:dyDescent="0.25">
      <c r="A62" s="301">
        <v>59</v>
      </c>
      <c r="B62" s="292" t="s">
        <v>835</v>
      </c>
      <c r="C62" s="173"/>
      <c r="D62" s="306"/>
      <c r="E62" s="302"/>
      <c r="F62" s="302"/>
      <c r="G62" s="173"/>
      <c r="H62" s="306"/>
      <c r="I62" s="302"/>
      <c r="J62" s="302"/>
      <c r="K62" s="173"/>
      <c r="L62" s="306"/>
      <c r="M62" s="169"/>
      <c r="N62" s="308"/>
      <c r="O62" s="325"/>
      <c r="P62" s="306"/>
      <c r="Q62" s="176"/>
      <c r="R62" s="316"/>
      <c r="S62" s="325"/>
      <c r="T62" s="306"/>
      <c r="U62" s="176"/>
      <c r="V62" s="316"/>
      <c r="W62" s="325"/>
      <c r="X62" s="306"/>
      <c r="Y62" s="176"/>
      <c r="Z62" s="316"/>
      <c r="AA62" s="325"/>
      <c r="AB62" s="306"/>
      <c r="AC62" s="176"/>
      <c r="AD62" s="316"/>
      <c r="AE62" s="325"/>
      <c r="AF62" s="306"/>
      <c r="AG62" s="176"/>
      <c r="AH62" s="316"/>
      <c r="AI62" s="325"/>
      <c r="AJ62" s="306"/>
      <c r="AK62" s="176"/>
      <c r="AL62" s="316"/>
      <c r="AM62" s="325"/>
      <c r="AN62" s="306"/>
      <c r="AO62" s="176"/>
      <c r="AP62" s="316"/>
      <c r="AQ62" s="325"/>
      <c r="AR62" s="306"/>
      <c r="AS62" s="176"/>
      <c r="AT62" s="316"/>
    </row>
    <row r="63" spans="1:46" ht="54" x14ac:dyDescent="0.25">
      <c r="A63" s="301">
        <v>60</v>
      </c>
      <c r="B63" s="293" t="s">
        <v>845</v>
      </c>
      <c r="C63" s="191"/>
      <c r="D63" s="306"/>
      <c r="E63" s="302"/>
      <c r="F63" s="302"/>
      <c r="G63" s="191"/>
      <c r="H63" s="306"/>
      <c r="I63" s="302"/>
      <c r="J63" s="302"/>
      <c r="K63" s="191"/>
      <c r="L63" s="306"/>
      <c r="M63" s="169"/>
      <c r="N63" s="308"/>
      <c r="O63" s="314"/>
      <c r="P63" s="306"/>
      <c r="Q63" s="171"/>
      <c r="R63" s="316"/>
      <c r="S63" s="314"/>
      <c r="T63" s="306"/>
      <c r="U63" s="171"/>
      <c r="V63" s="316"/>
      <c r="W63" s="314"/>
      <c r="X63" s="306"/>
      <c r="Y63" s="171"/>
      <c r="Z63" s="316"/>
      <c r="AA63" s="314"/>
      <c r="AB63" s="306"/>
      <c r="AC63" s="171"/>
      <c r="AD63" s="316"/>
      <c r="AE63" s="314"/>
      <c r="AF63" s="306"/>
      <c r="AG63" s="171"/>
      <c r="AH63" s="316"/>
      <c r="AI63" s="314"/>
      <c r="AJ63" s="306"/>
      <c r="AK63" s="171"/>
      <c r="AL63" s="316"/>
      <c r="AM63" s="314"/>
      <c r="AN63" s="306"/>
      <c r="AO63" s="171"/>
      <c r="AP63" s="316"/>
      <c r="AQ63" s="314"/>
      <c r="AR63" s="306"/>
      <c r="AS63" s="171"/>
      <c r="AT63" s="316"/>
    </row>
    <row r="64" spans="1:46" ht="27" x14ac:dyDescent="0.25">
      <c r="A64" s="301">
        <v>61</v>
      </c>
      <c r="B64" s="293" t="s">
        <v>856</v>
      </c>
      <c r="C64" s="191"/>
      <c r="D64" s="306"/>
      <c r="E64" s="302"/>
      <c r="F64" s="302"/>
      <c r="G64" s="191"/>
      <c r="H64" s="306"/>
      <c r="I64" s="302"/>
      <c r="J64" s="302"/>
      <c r="K64" s="191"/>
      <c r="L64" s="306"/>
      <c r="M64" s="169"/>
      <c r="N64" s="308"/>
      <c r="O64" s="314"/>
      <c r="P64" s="306"/>
      <c r="Q64" s="171"/>
      <c r="R64" s="316"/>
      <c r="S64" s="314"/>
      <c r="T64" s="306"/>
      <c r="U64" s="171"/>
      <c r="V64" s="316"/>
      <c r="W64" s="314"/>
      <c r="X64" s="306"/>
      <c r="Y64" s="171"/>
      <c r="Z64" s="316"/>
      <c r="AA64" s="314"/>
      <c r="AB64" s="306"/>
      <c r="AC64" s="171"/>
      <c r="AD64" s="316"/>
      <c r="AE64" s="314"/>
      <c r="AF64" s="306"/>
      <c r="AG64" s="171"/>
      <c r="AH64" s="316"/>
      <c r="AI64" s="314"/>
      <c r="AJ64" s="306"/>
      <c r="AK64" s="171"/>
      <c r="AL64" s="316"/>
      <c r="AM64" s="314"/>
      <c r="AN64" s="306"/>
      <c r="AO64" s="171"/>
      <c r="AP64" s="316"/>
      <c r="AQ64" s="314"/>
      <c r="AR64" s="306"/>
      <c r="AS64" s="171"/>
      <c r="AT64" s="316"/>
    </row>
    <row r="65" spans="1:46" ht="27" x14ac:dyDescent="0.25">
      <c r="A65" s="301">
        <v>62</v>
      </c>
      <c r="B65" s="293" t="s">
        <v>868</v>
      </c>
      <c r="C65" s="191"/>
      <c r="D65" s="306"/>
      <c r="E65" s="302"/>
      <c r="F65" s="302"/>
      <c r="G65" s="191"/>
      <c r="H65" s="306"/>
      <c r="I65" s="302"/>
      <c r="J65" s="302"/>
      <c r="K65" s="191"/>
      <c r="L65" s="306"/>
      <c r="M65" s="169"/>
      <c r="N65" s="308"/>
      <c r="O65" s="314"/>
      <c r="P65" s="306"/>
      <c r="Q65" s="171"/>
      <c r="R65" s="316"/>
      <c r="S65" s="314"/>
      <c r="T65" s="306"/>
      <c r="U65" s="171"/>
      <c r="V65" s="316"/>
      <c r="W65" s="314"/>
      <c r="X65" s="306"/>
      <c r="Y65" s="171"/>
      <c r="Z65" s="316"/>
      <c r="AA65" s="314"/>
      <c r="AB65" s="306"/>
      <c r="AC65" s="171"/>
      <c r="AD65" s="316"/>
      <c r="AE65" s="314"/>
      <c r="AF65" s="306"/>
      <c r="AG65" s="171"/>
      <c r="AH65" s="316"/>
      <c r="AI65" s="314"/>
      <c r="AJ65" s="306"/>
      <c r="AK65" s="171"/>
      <c r="AL65" s="316"/>
      <c r="AM65" s="314"/>
      <c r="AN65" s="306"/>
      <c r="AO65" s="171"/>
      <c r="AP65" s="316"/>
      <c r="AQ65" s="314"/>
      <c r="AR65" s="306"/>
      <c r="AS65" s="171"/>
      <c r="AT65" s="316"/>
    </row>
    <row r="66" spans="1:46" ht="27.75" thickBot="1" x14ac:dyDescent="0.3">
      <c r="A66" s="301">
        <v>63</v>
      </c>
      <c r="B66" s="292" t="s">
        <v>882</v>
      </c>
      <c r="C66" s="196"/>
      <c r="D66" s="306"/>
      <c r="E66" s="302"/>
      <c r="F66" s="302"/>
      <c r="G66" s="196"/>
      <c r="H66" s="306"/>
      <c r="I66" s="302"/>
      <c r="J66" s="302"/>
      <c r="K66" s="196"/>
      <c r="L66" s="306"/>
      <c r="M66" s="169"/>
      <c r="N66" s="309"/>
      <c r="O66" s="326"/>
      <c r="P66" s="327"/>
      <c r="Q66" s="328"/>
      <c r="R66" s="329"/>
      <c r="S66" s="326"/>
      <c r="T66" s="327"/>
      <c r="U66" s="328"/>
      <c r="V66" s="329"/>
      <c r="W66" s="326"/>
      <c r="X66" s="327"/>
      <c r="Y66" s="328"/>
      <c r="Z66" s="329"/>
      <c r="AA66" s="326"/>
      <c r="AB66" s="327"/>
      <c r="AC66" s="328"/>
      <c r="AD66" s="329"/>
      <c r="AE66" s="326"/>
      <c r="AF66" s="327"/>
      <c r="AG66" s="328"/>
      <c r="AH66" s="329"/>
      <c r="AI66" s="326"/>
      <c r="AJ66" s="327"/>
      <c r="AK66" s="328"/>
      <c r="AL66" s="329"/>
      <c r="AM66" s="326"/>
      <c r="AN66" s="327"/>
      <c r="AO66" s="328"/>
      <c r="AP66" s="329"/>
      <c r="AQ66" s="326"/>
      <c r="AR66" s="327"/>
      <c r="AS66" s="328"/>
      <c r="AT66" s="329"/>
    </row>
  </sheetData>
  <sortState xmlns:xlrd2="http://schemas.microsoft.com/office/spreadsheetml/2017/richdata2" ref="A5:R66">
    <sortCondition ref="A5:A66"/>
  </sortState>
  <mergeCells count="11">
    <mergeCell ref="AQ1:AT1"/>
    <mergeCell ref="AM1:AP1"/>
    <mergeCell ref="AI1:AL1"/>
    <mergeCell ref="AE1:AH1"/>
    <mergeCell ref="C1:F1"/>
    <mergeCell ref="S1:V1"/>
    <mergeCell ref="AA1:AD1"/>
    <mergeCell ref="W1:Z1"/>
    <mergeCell ref="K1:N1"/>
    <mergeCell ref="O1:R1"/>
    <mergeCell ref="G1:J1"/>
  </mergeCells>
  <dataValidations count="1">
    <dataValidation allowBlank="1" showInputMessage="1" showErrorMessage="1" promptTitle="NOMBRE DEL INDICADOR" prompt="Nombre que identifica al indicador." sqref="B3" xr:uid="{6110DA49-5D17-47E4-AAD6-9C8AE5F6D1EA}"/>
  </dataValidation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36C66-0055-48A0-8427-2191DB7C6DC8}">
  <dimension ref="A1:AO149"/>
  <sheetViews>
    <sheetView topLeftCell="L1" zoomScale="85" zoomScaleNormal="85" workbookViewId="0">
      <selection activeCell="X1" sqref="X1"/>
    </sheetView>
  </sheetViews>
  <sheetFormatPr baseColWidth="10" defaultColWidth="11.42578125" defaultRowHeight="15" x14ac:dyDescent="0.25"/>
  <cols>
    <col min="1" max="1" width="62.5703125" customWidth="1"/>
    <col min="2" max="2" width="14.85546875" customWidth="1"/>
    <col min="4" max="4" width="15.42578125" bestFit="1" customWidth="1"/>
    <col min="6" max="6" width="17.5703125" customWidth="1"/>
    <col min="9" max="9" width="63.42578125" customWidth="1"/>
    <col min="10" max="10" width="13.5703125" customWidth="1"/>
    <col min="13" max="13" width="11.5703125" customWidth="1"/>
    <col min="17" max="17" width="15" customWidth="1"/>
    <col min="21" max="21" width="14.5703125" customWidth="1"/>
    <col min="22" max="22" width="15.5703125" customWidth="1"/>
    <col min="27" max="27" width="61.5703125" customWidth="1"/>
    <col min="28" max="28" width="53" style="1" customWidth="1"/>
    <col min="29" max="29" width="36.42578125" style="1" customWidth="1"/>
    <col min="30" max="30" width="37" style="1" customWidth="1"/>
    <col min="31" max="31" width="48" style="1" customWidth="1"/>
    <col min="32" max="32" width="58.42578125" style="1" customWidth="1"/>
    <col min="33" max="33" width="41.42578125" style="1" customWidth="1"/>
    <col min="34" max="34" width="58.42578125" style="1" customWidth="1"/>
    <col min="35" max="35" width="41.85546875" style="1" customWidth="1"/>
    <col min="36" max="37" width="36.42578125" style="1" customWidth="1"/>
    <col min="38" max="38" width="68.85546875" style="1" customWidth="1"/>
    <col min="39" max="40" width="36.42578125" style="1" customWidth="1"/>
    <col min="41" max="41" width="40.85546875" customWidth="1"/>
  </cols>
  <sheetData>
    <row r="1" spans="1:41" ht="27" customHeight="1" x14ac:dyDescent="0.25">
      <c r="A1" s="128" t="s">
        <v>0</v>
      </c>
      <c r="B1" s="125" t="s">
        <v>112</v>
      </c>
      <c r="C1" s="125" t="s">
        <v>113</v>
      </c>
      <c r="D1" s="125" t="s">
        <v>114</v>
      </c>
      <c r="E1" s="125" t="s">
        <v>115</v>
      </c>
      <c r="F1" s="125" t="s">
        <v>116</v>
      </c>
      <c r="I1" s="128" t="s">
        <v>0</v>
      </c>
      <c r="J1" s="128" t="s">
        <v>85</v>
      </c>
      <c r="K1" s="129" t="s">
        <v>112</v>
      </c>
      <c r="L1" s="129" t="s">
        <v>113</v>
      </c>
      <c r="M1" s="129" t="s">
        <v>114</v>
      </c>
      <c r="N1" s="129" t="s">
        <v>115</v>
      </c>
      <c r="O1" s="129" t="s">
        <v>116</v>
      </c>
      <c r="Q1" s="153" t="s">
        <v>1059</v>
      </c>
      <c r="R1" s="153" t="s">
        <v>1060</v>
      </c>
      <c r="T1" s="156" t="s">
        <v>319</v>
      </c>
      <c r="U1" s="156" t="s">
        <v>470</v>
      </c>
      <c r="V1" s="156" t="s">
        <v>176</v>
      </c>
      <c r="X1" s="157" t="s">
        <v>1414</v>
      </c>
      <c r="AA1" s="144" t="s">
        <v>0</v>
      </c>
      <c r="AB1" s="143" t="s">
        <v>1061</v>
      </c>
      <c r="AC1" s="143" t="s">
        <v>1062</v>
      </c>
      <c r="AD1" s="143" t="s">
        <v>1063</v>
      </c>
      <c r="AE1" s="143" t="s">
        <v>1064</v>
      </c>
      <c r="AF1" s="143" t="s">
        <v>1065</v>
      </c>
      <c r="AG1" s="143" t="s">
        <v>1066</v>
      </c>
      <c r="AH1" s="143" t="s">
        <v>1067</v>
      </c>
      <c r="AI1" s="143" t="s">
        <v>1068</v>
      </c>
      <c r="AJ1" s="143" t="s">
        <v>1</v>
      </c>
      <c r="AK1" s="143" t="s">
        <v>1069</v>
      </c>
      <c r="AL1" s="143" t="s">
        <v>1070</v>
      </c>
      <c r="AM1" s="143" t="s">
        <v>1071</v>
      </c>
    </row>
    <row r="2" spans="1:41" ht="40.5" x14ac:dyDescent="0.25">
      <c r="A2" s="126" t="s">
        <v>441</v>
      </c>
      <c r="B2" s="127">
        <f>IFERROR(AVERAGEIFS(DATOS!AR:AR,DATOS!$B:$B,'FORMULAS%'!$A2),"0")</f>
        <v>1</v>
      </c>
      <c r="C2" s="127">
        <f>IFERROR(AVERAGEIFS(DATOS!AS:AS,DATOS!$B:$B,'FORMULAS%'!$A2),"0")</f>
        <v>1</v>
      </c>
      <c r="D2" s="127">
        <f>IFERROR(AVERAGEIFS(DATOS!AT:AT,DATOS!$B:$B,'FORMULAS%'!$A2),"0")</f>
        <v>1</v>
      </c>
      <c r="E2" s="127">
        <f>IFERROR(AVERAGEIFS(DATOS!AU:AU,DATOS!$B:$B,'FORMULAS%'!$A2),"0")</f>
        <v>0.53859649122807018</v>
      </c>
      <c r="F2" s="127">
        <f>IFERROR(AVERAGEIFS(DATOS!AV:AV,DATOS!$B:$B,'FORMULAS%'!$A2),"0")</f>
        <v>0</v>
      </c>
      <c r="I2" s="241" t="s">
        <v>441</v>
      </c>
      <c r="J2" s="243" t="s">
        <v>443</v>
      </c>
      <c r="K2" s="242">
        <f>IFERROR(AVERAGEIFS(DATOS!AR:AR,DATOS!$B:$B,'FORMULAS%'!$I2,DATOS!$E:$E,'FORMULAS%'!$J2),"0")</f>
        <v>1</v>
      </c>
      <c r="L2" s="242">
        <f>IFERROR(AVERAGEIFS(DATOS!AS:AS,DATOS!$B:$B,'FORMULAS%'!$I2,DATOS!$E:$E,'FORMULAS%'!$J2),"0")</f>
        <v>1</v>
      </c>
      <c r="M2" s="242">
        <f>IFERROR(AVERAGEIFS(DATOS!AT:AT,DATOS!$B:$B,'FORMULAS%'!$I2,DATOS!$E:$E,'FORMULAS%'!$J2),"0")</f>
        <v>1</v>
      </c>
      <c r="N2" s="242">
        <f>IFERROR(AVERAGEIFS(DATOS!AU:AU,DATOS!$B:$B,'FORMULAS%'!$I2,DATOS!$E:$E,'FORMULAS%'!$J2),"0")</f>
        <v>0.53859649122807018</v>
      </c>
      <c r="O2" s="242">
        <f>IFERROR(AVERAGEIFS(DATOS!AV:AV,DATOS!$B:$B,'FORMULAS%'!$I2,DATOS!$E:$E,'FORMULAS%'!$J2),"0")</f>
        <v>0</v>
      </c>
      <c r="Q2" s="154">
        <f>COUNTIF(DATOS!K:K,"ACTIVO")</f>
        <v>64</v>
      </c>
      <c r="R2" s="154">
        <f>COUNTIF(DATOS!K:K,"INACTIVO")</f>
        <v>24</v>
      </c>
      <c r="T2" s="344">
        <f>COUNTIFS(DATOS!$D:$D,T1,DATOS!$K:$K,"ACTIVO")</f>
        <v>25</v>
      </c>
      <c r="U2" s="344">
        <f>COUNTIFS(DATOS!$D:$D,U1,DATOS!$K:$K,"ACTIVO")</f>
        <v>24</v>
      </c>
      <c r="V2" s="344">
        <f>COUNTIFS(DATOS!$D:$D,V1,DATOS!$K:$K,"ACTIVO")</f>
        <v>15</v>
      </c>
      <c r="X2" s="155">
        <f>COUNTIFS(DATOS!CI:CI,X1,DATOS!$K:$K,"ACTIVO")</f>
        <v>58</v>
      </c>
      <c r="AA2" t="s">
        <v>1061</v>
      </c>
      <c r="AB2" s="303" t="s">
        <v>178</v>
      </c>
      <c r="AC2" s="163" t="s">
        <v>1097</v>
      </c>
      <c r="AD2" s="163" t="s">
        <v>1157</v>
      </c>
      <c r="AE2" s="293" t="s">
        <v>292</v>
      </c>
      <c r="AF2" s="293" t="s">
        <v>320</v>
      </c>
      <c r="AG2" s="303" t="s">
        <v>251</v>
      </c>
      <c r="AH2" s="292" t="s">
        <v>266</v>
      </c>
      <c r="AI2" s="293" t="s">
        <v>203</v>
      </c>
      <c r="AJ2" s="303" t="s">
        <v>355</v>
      </c>
      <c r="AK2" s="189" t="s">
        <v>1145</v>
      </c>
      <c r="AL2" s="303" t="s">
        <v>388</v>
      </c>
      <c r="AM2" s="303" t="s">
        <v>178</v>
      </c>
    </row>
    <row r="3" spans="1:41" ht="54" x14ac:dyDescent="0.25">
      <c r="A3" s="126" t="s">
        <v>703</v>
      </c>
      <c r="B3" s="127" t="str">
        <f>IFERROR(AVERAGEIFS(DATOS!AR:AR,DATOS!$B:$B,'FORMULAS%'!$A3),"0")</f>
        <v>0</v>
      </c>
      <c r="C3" s="127">
        <f>IFERROR(AVERAGEIFS(DATOS!AS:AS,DATOS!$B:$B,'FORMULAS%'!$A3),"0")</f>
        <v>1.0035460992907801</v>
      </c>
      <c r="D3" s="127">
        <f>IFERROR(AVERAGEIFS(DATOS!AT:AT,DATOS!$B:$B,'FORMULAS%'!$A3),"0")</f>
        <v>0.98538461538461541</v>
      </c>
      <c r="E3" s="127">
        <f>IFERROR(AVERAGEIFS(DATOS!AU:AU,DATOS!$B:$B,'FORMULAS%'!$A3),"0")</f>
        <v>0.6222646949404762</v>
      </c>
      <c r="F3" s="127">
        <f>IFERROR(AVERAGEIFS(DATOS!AV:AV,DATOS!$B:$B,'FORMULAS%'!$A3),"0")</f>
        <v>0</v>
      </c>
      <c r="I3" s="241" t="s">
        <v>703</v>
      </c>
      <c r="J3" s="243" t="s">
        <v>443</v>
      </c>
      <c r="K3" s="242" t="str">
        <f>IFERROR(AVERAGEIFS(DATOS!AR:AR,DATOS!$B:$B,'FORMULAS%'!$I3,DATOS!$E:$E,'FORMULAS%'!$J3),"0")</f>
        <v>0</v>
      </c>
      <c r="L3" s="242">
        <f>IFERROR(AVERAGEIFS(DATOS!AS:AS,DATOS!$B:$B,'FORMULAS%'!$I3,DATOS!$E:$E,'FORMULAS%'!$J3),"0")</f>
        <v>1.0035460992907801</v>
      </c>
      <c r="M3" s="242">
        <f>IFERROR(AVERAGEIFS(DATOS!AT:AT,DATOS!$B:$B,'FORMULAS%'!$I3,DATOS!$E:$E,'FORMULAS%'!$J3),"0")</f>
        <v>0.98538461538461541</v>
      </c>
      <c r="N3" s="242">
        <f>IFERROR(AVERAGEIFS(DATOS!AU:AU,DATOS!$B:$B,'FORMULAS%'!$I3,DATOS!$E:$E,'FORMULAS%'!$J3),"0")</f>
        <v>0.6222646949404762</v>
      </c>
      <c r="O3" s="242">
        <f>IFERROR(AVERAGEIFS(DATOS!AV:AV,DATOS!$B:$B,'FORMULAS%'!$I3,DATOS!$E:$E,'FORMULAS%'!$J3),"0")</f>
        <v>0</v>
      </c>
      <c r="AA3" t="s">
        <v>1062</v>
      </c>
      <c r="AB3" s="293" t="s">
        <v>203</v>
      </c>
      <c r="AC3" s="163" t="s">
        <v>1098</v>
      </c>
      <c r="AD3" s="163" t="s">
        <v>719</v>
      </c>
      <c r="AE3" s="293" t="s">
        <v>306</v>
      </c>
      <c r="AF3" s="293" t="s">
        <v>334</v>
      </c>
      <c r="AG3" s="163" t="s">
        <v>524</v>
      </c>
      <c r="AH3" s="293" t="s">
        <v>280</v>
      </c>
      <c r="AI3" s="293" t="s">
        <v>224</v>
      </c>
      <c r="AJ3" s="303" t="s">
        <v>4</v>
      </c>
      <c r="AK3" s="189" t="s">
        <v>1111</v>
      </c>
      <c r="AL3" s="303" t="s">
        <v>404</v>
      </c>
      <c r="AM3" s="203" t="s">
        <v>460</v>
      </c>
      <c r="AN3" s="1" t="s">
        <v>141</v>
      </c>
      <c r="AO3" t="str">
        <f>DATOS!J3</f>
        <v>PROCESO</v>
      </c>
    </row>
    <row r="4" spans="1:41" ht="54" x14ac:dyDescent="0.25">
      <c r="A4" s="126" t="s">
        <v>290</v>
      </c>
      <c r="B4" s="127" t="str">
        <f>IFERROR(AVERAGEIFS(DATOS!AR:AR,DATOS!$B:$B,'FORMULAS%'!$A4),"0")</f>
        <v>0</v>
      </c>
      <c r="C4" s="127">
        <f>IFERROR(AVERAGEIFS(DATOS!AS:AS,DATOS!$B:$B,'FORMULAS%'!$A4),"0")</f>
        <v>1.0254285714285716</v>
      </c>
      <c r="D4" s="127">
        <f>IFERROR(AVERAGEIFS(DATOS!AT:AT,DATOS!$B:$B,'FORMULAS%'!$A4),"0")</f>
        <v>1</v>
      </c>
      <c r="E4" s="127">
        <f>IFERROR(AVERAGEIFS(DATOS!AU:AU,DATOS!$B:$B,'FORMULAS%'!$A4),"0")</f>
        <v>0.80725000000000002</v>
      </c>
      <c r="F4" s="127">
        <f>IFERROR(AVERAGEIFS(DATOS!AV:AV,DATOS!$B:$B,'FORMULAS%'!$A4),"0")</f>
        <v>0</v>
      </c>
      <c r="I4" s="241" t="s">
        <v>290</v>
      </c>
      <c r="J4" s="243" t="s">
        <v>443</v>
      </c>
      <c r="K4" s="242" t="str">
        <f>IFERROR(AVERAGEIFS(DATOS!AR:AR,DATOS!$B:$B,'FORMULAS%'!$I4,DATOS!$E:$E,'FORMULAS%'!$J4),"0")</f>
        <v>0</v>
      </c>
      <c r="L4" s="242">
        <f>IFERROR(AVERAGEIFS(DATOS!AS:AS,DATOS!$B:$B,'FORMULAS%'!$I4,DATOS!$E:$E,'FORMULAS%'!$J4),"0")</f>
        <v>1</v>
      </c>
      <c r="M4" s="242">
        <f>IFERROR(AVERAGEIFS(DATOS!AT:AT,DATOS!$B:$B,'FORMULAS%'!$I4,DATOS!$E:$E,'FORMULAS%'!$J4),"0")</f>
        <v>1</v>
      </c>
      <c r="N4" s="242">
        <f>IFERROR(AVERAGEIFS(DATOS!AU:AU,DATOS!$B:$B,'FORMULAS%'!$I4,DATOS!$E:$E,'FORMULAS%'!$J4),"0")</f>
        <v>1.2050000000000001</v>
      </c>
      <c r="O4" s="242">
        <f>IFERROR(AVERAGEIFS(DATOS!AV:AV,DATOS!$B:$B,'FORMULAS%'!$I4,DATOS!$E:$E,'FORMULAS%'!$J4),"0")</f>
        <v>0</v>
      </c>
      <c r="T4" s="343" t="s">
        <v>195</v>
      </c>
      <c r="U4" s="343" t="s">
        <v>217</v>
      </c>
      <c r="V4" s="343" t="s">
        <v>260</v>
      </c>
      <c r="AA4" t="s">
        <v>1063</v>
      </c>
      <c r="AB4" s="293" t="s">
        <v>224</v>
      </c>
      <c r="AD4" s="163" t="s">
        <v>732</v>
      </c>
      <c r="AE4" s="189" t="s">
        <v>1141</v>
      </c>
      <c r="AF4" s="303" t="s">
        <v>344</v>
      </c>
      <c r="AG4" s="163" t="s">
        <v>1143</v>
      </c>
      <c r="AH4" s="189" t="s">
        <v>619</v>
      </c>
      <c r="AI4" s="293" t="s">
        <v>230</v>
      </c>
      <c r="AJ4" s="293" t="s">
        <v>380</v>
      </c>
      <c r="AL4" s="303" t="s">
        <v>417</v>
      </c>
      <c r="AM4" s="203" t="s">
        <v>471</v>
      </c>
      <c r="AN4" s="1" t="s">
        <v>142</v>
      </c>
      <c r="AO4" t="str">
        <f>DATOS!J4</f>
        <v>Gestión Jurídica y Extrajudicial del DC</v>
      </c>
    </row>
    <row r="5" spans="1:41" ht="42.75" x14ac:dyDescent="0.25">
      <c r="A5" s="126" t="s">
        <v>317</v>
      </c>
      <c r="B5" s="127" t="str">
        <f>IFERROR(AVERAGEIFS(DATOS!AR:AR,DATOS!$B:$B,'FORMULAS%'!$A5),"0")</f>
        <v>0</v>
      </c>
      <c r="C5" s="127">
        <f>IFERROR(AVERAGEIFS(DATOS!AS:AS,DATOS!$B:$B,'FORMULAS%'!$A5),"0")</f>
        <v>1.1121562952243127</v>
      </c>
      <c r="D5" s="127">
        <f>IFERROR(AVERAGEIFS(DATOS!AT:AT,DATOS!$B:$B,'FORMULAS%'!$A5),"0")</f>
        <v>1</v>
      </c>
      <c r="E5" s="127">
        <f>IFERROR(AVERAGEIFS(DATOS!AU:AU,DATOS!$B:$B,'FORMULAS%'!$A5),"0")</f>
        <v>1.6249346917450365</v>
      </c>
      <c r="F5" s="127">
        <f>IFERROR(AVERAGEIFS(DATOS!AV:AV,DATOS!$B:$B,'FORMULAS%'!$A5),"0")</f>
        <v>0</v>
      </c>
      <c r="I5" s="241" t="s">
        <v>317</v>
      </c>
      <c r="J5" s="243" t="s">
        <v>443</v>
      </c>
      <c r="K5" s="242" t="str">
        <f>IFERROR(AVERAGEIFS(DATOS!AR:AR,DATOS!$B:$B,'FORMULAS%'!$I5,DATOS!$E:$E,'FORMULAS%'!$J5),"0")</f>
        <v>0</v>
      </c>
      <c r="L5" s="242">
        <f>IFERROR(AVERAGEIFS(DATOS!AS:AS,DATOS!$B:$B,'FORMULAS%'!$I5,DATOS!$E:$E,'FORMULAS%'!$J5),"0")</f>
        <v>1</v>
      </c>
      <c r="M5" s="242">
        <f>IFERROR(AVERAGEIFS(DATOS!AT:AT,DATOS!$B:$B,'FORMULAS%'!$I5,DATOS!$E:$E,'FORMULAS%'!$J5),"0")</f>
        <v>1</v>
      </c>
      <c r="N5" s="242">
        <f>IFERROR(AVERAGEIFS(DATOS!AU:AU,DATOS!$B:$B,'FORMULAS%'!$I5,DATOS!$E:$E,'FORMULAS%'!$J5),"0")</f>
        <v>1</v>
      </c>
      <c r="O5" s="242">
        <f>IFERROR(AVERAGEIFS(DATOS!AV:AV,DATOS!$B:$B,'FORMULAS%'!$I5,DATOS!$E:$E,'FORMULAS%'!$J5),"0")</f>
        <v>0</v>
      </c>
      <c r="T5" s="343">
        <f>COUNTIFS(DATOS!$AB:$AB,T4,DATOS!$K:$K,"ACTIVO")</f>
        <v>8</v>
      </c>
      <c r="U5" s="343">
        <f>COUNTIFS(DATOS!$AB:$AB,U4,DATOS!$K:$K,"ACTIVO")</f>
        <v>47</v>
      </c>
      <c r="V5" s="343">
        <f>COUNTIFS(DATOS!$AB:$AB,V4,DATOS!$K:$K,"ACTIVO")</f>
        <v>9</v>
      </c>
      <c r="AA5" t="s">
        <v>1064</v>
      </c>
      <c r="AB5" s="293" t="s">
        <v>230</v>
      </c>
      <c r="AD5" s="163" t="s">
        <v>742</v>
      </c>
      <c r="AE5" s="189" t="s">
        <v>1123</v>
      </c>
      <c r="AF5" s="189" t="s">
        <v>546</v>
      </c>
      <c r="AH5" s="189" t="s">
        <v>632</v>
      </c>
      <c r="AI5" s="293" t="s">
        <v>237</v>
      </c>
      <c r="AJ5" s="189" t="s">
        <v>1144</v>
      </c>
      <c r="AL5" s="303" t="s">
        <v>429</v>
      </c>
      <c r="AN5" s="1" t="s">
        <v>62</v>
      </c>
      <c r="AO5" t="str">
        <f>DATOS!J5</f>
        <v>GESTIÓN JURÍDICA DISTRITAL</v>
      </c>
    </row>
    <row r="6" spans="1:41" ht="57" x14ac:dyDescent="0.25">
      <c r="A6" s="126" t="s">
        <v>250</v>
      </c>
      <c r="B6" s="127">
        <f>IFERROR(AVERAGEIFS(DATOS!AR:AR,DATOS!$B:$B,'FORMULAS%'!$A6),"0")</f>
        <v>1.0526506024096387</v>
      </c>
      <c r="C6" s="127">
        <f>IFERROR(AVERAGEIFS(DATOS!AS:AS,DATOS!$B:$B,'FORMULAS%'!$A6),"0")</f>
        <v>1.078524096385542</v>
      </c>
      <c r="D6" s="127">
        <f>IFERROR(AVERAGEIFS(DATOS!AT:AT,DATOS!$B:$B,'FORMULAS%'!$A6),"0")</f>
        <v>1</v>
      </c>
      <c r="E6" s="127">
        <f>IFERROR(AVERAGEIFS(DATOS!AU:AU,DATOS!$B:$B,'FORMULAS%'!$A6),"0")</f>
        <v>1.0188755020080322</v>
      </c>
      <c r="F6" s="127">
        <f>IFERROR(AVERAGEIFS(DATOS!AV:AV,DATOS!$B:$B,'FORMULAS%'!$A6),"0")</f>
        <v>0</v>
      </c>
      <c r="I6" s="241" t="s">
        <v>250</v>
      </c>
      <c r="J6" s="243" t="s">
        <v>443</v>
      </c>
      <c r="K6" s="242" t="str">
        <f>IFERROR(AVERAGEIFS(DATOS!AR:AR,DATOS!$B:$B,'FORMULAS%'!$I6,DATOS!$E:$E,'FORMULAS%'!$J6),"0")</f>
        <v>0</v>
      </c>
      <c r="L6" s="242">
        <f>IFERROR(AVERAGEIFS(DATOS!AS:AS,DATOS!$B:$B,'FORMULAS%'!$I6,DATOS!$E:$E,'FORMULAS%'!$J6),"0")</f>
        <v>1.0833333333333333</v>
      </c>
      <c r="M6" s="242">
        <f>IFERROR(AVERAGEIFS(DATOS!AT:AT,DATOS!$B:$B,'FORMULAS%'!$I6,DATOS!$E:$E,'FORMULAS%'!$J6),"0")</f>
        <v>1</v>
      </c>
      <c r="N6" s="242">
        <f>IFERROR(AVERAGEIFS(DATOS!AU:AU,DATOS!$B:$B,'FORMULAS%'!$I6,DATOS!$E:$E,'FORMULAS%'!$J6),"0")</f>
        <v>1</v>
      </c>
      <c r="O6" s="242">
        <f>IFERROR(AVERAGEIFS(DATOS!AV:AV,DATOS!$B:$B,'FORMULAS%'!$I6,DATOS!$E:$E,'FORMULAS%'!$J6),"0")</f>
        <v>0</v>
      </c>
      <c r="AA6" t="s">
        <v>1065</v>
      </c>
      <c r="AB6" s="293" t="s">
        <v>237</v>
      </c>
      <c r="AD6" s="163" t="s">
        <v>753</v>
      </c>
      <c r="AH6" s="189" t="s">
        <v>643</v>
      </c>
      <c r="AI6" s="293" t="s">
        <v>244</v>
      </c>
      <c r="AJ6" s="163" t="s">
        <v>564</v>
      </c>
      <c r="AL6" s="189" t="s">
        <v>1142</v>
      </c>
      <c r="AN6" s="1" t="s">
        <v>143</v>
      </c>
      <c r="AO6" t="str">
        <f>DATOS!J6</f>
        <v>GESTIÓN JURÍDICA DISTRITAL</v>
      </c>
    </row>
    <row r="7" spans="1:41" ht="42.75" x14ac:dyDescent="0.25">
      <c r="A7" s="126" t="s">
        <v>264</v>
      </c>
      <c r="B7" s="127">
        <f>IFERROR(AVERAGEIFS(DATOS!AR:AR,DATOS!$B:$B,'FORMULAS%'!$A7),"0")</f>
        <v>1.47875</v>
      </c>
      <c r="C7" s="127">
        <f>IFERROR(AVERAGEIFS(DATOS!AS:AS,DATOS!$B:$B,'FORMULAS%'!$A7),"0")</f>
        <v>1.2403006535947714</v>
      </c>
      <c r="D7" s="127">
        <f>IFERROR(AVERAGEIFS(DATOS!AT:AT,DATOS!$B:$B,'FORMULAS%'!$A7),"0")</f>
        <v>0.96599999999999997</v>
      </c>
      <c r="E7" s="127">
        <f>IFERROR(AVERAGEIFS(DATOS!AU:AU,DATOS!$B:$B,'FORMULAS%'!$A7),"0")</f>
        <v>1.311493817210168</v>
      </c>
      <c r="F7" s="127">
        <f>IFERROR(AVERAGEIFS(DATOS!AV:AV,DATOS!$B:$B,'FORMULAS%'!$A7),"0")</f>
        <v>0</v>
      </c>
      <c r="I7" s="241" t="s">
        <v>264</v>
      </c>
      <c r="J7" s="243" t="s">
        <v>443</v>
      </c>
      <c r="K7" s="242" t="str">
        <f>IFERROR(AVERAGEIFS(DATOS!AR:AR,DATOS!$B:$B,'FORMULAS%'!$I7,DATOS!$E:$E,'FORMULAS%'!$J7),"0")</f>
        <v>0</v>
      </c>
      <c r="L7" s="242">
        <f>IFERROR(AVERAGEIFS(DATOS!AS:AS,DATOS!$B:$B,'FORMULAS%'!$I7,DATOS!$E:$E,'FORMULAS%'!$J7),"0")</f>
        <v>1.3566176470588236</v>
      </c>
      <c r="M7" s="242">
        <f>IFERROR(AVERAGEIFS(DATOS!AT:AT,DATOS!$B:$B,'FORMULAS%'!$I7,DATOS!$E:$E,'FORMULAS%'!$J7),"0")</f>
        <v>0.94333333333333336</v>
      </c>
      <c r="N7" s="242">
        <f>IFERROR(AVERAGEIFS(DATOS!AU:AU,DATOS!$B:$B,'FORMULAS%'!$I7,DATOS!$E:$E,'FORMULAS%'!$J7),"0")</f>
        <v>1.6990640302485589</v>
      </c>
      <c r="O7" s="242">
        <f>IFERROR(AVERAGEIFS(DATOS!AV:AV,DATOS!$B:$B,'FORMULAS%'!$I7,DATOS!$E:$E,'FORMULAS%'!$J7),"0")</f>
        <v>0</v>
      </c>
      <c r="AA7" t="s">
        <v>1066</v>
      </c>
      <c r="AB7" s="293" t="s">
        <v>244</v>
      </c>
      <c r="AD7" s="163" t="s">
        <v>764</v>
      </c>
      <c r="AI7" s="163" t="s">
        <v>1148</v>
      </c>
      <c r="AJ7" s="163" t="s">
        <v>575</v>
      </c>
      <c r="AL7" s="189" t="s">
        <v>494</v>
      </c>
      <c r="AN7" s="1" t="s">
        <v>144</v>
      </c>
      <c r="AO7" t="str">
        <f>DATOS!J7</f>
        <v>GESTIÓN JURÍDICA DISTRITAL</v>
      </c>
    </row>
    <row r="8" spans="1:41" ht="42.75" x14ac:dyDescent="0.25">
      <c r="A8" s="126" t="s">
        <v>201</v>
      </c>
      <c r="B8" s="127">
        <f>IFERROR(AVERAGEIFS(DATOS!AR:AR,DATOS!$B:$B,'FORMULAS%'!$A8),"0")</f>
        <v>1</v>
      </c>
      <c r="C8" s="127">
        <f>IFERROR(AVERAGEIFS(DATOS!AS:AS,DATOS!$B:$B,'FORMULAS%'!$A8),"0")</f>
        <v>1.0025974025974027</v>
      </c>
      <c r="D8" s="127">
        <f>IFERROR(AVERAGEIFS(DATOS!AT:AT,DATOS!$B:$B,'FORMULAS%'!$A8),"0")</f>
        <v>0.93909090909090909</v>
      </c>
      <c r="E8" s="127">
        <f>IFERROR(AVERAGEIFS(DATOS!AU:AU,DATOS!$B:$B,'FORMULAS%'!$A8),"0")</f>
        <v>0.88535714285714273</v>
      </c>
      <c r="F8" s="127">
        <f>IFERROR(AVERAGEIFS(DATOS!AV:AV,DATOS!$B:$B,'FORMULAS%'!$A8),"0")</f>
        <v>0</v>
      </c>
      <c r="I8" s="241" t="s">
        <v>201</v>
      </c>
      <c r="J8" s="243" t="s">
        <v>443</v>
      </c>
      <c r="K8" s="242" t="str">
        <f>IFERROR(AVERAGEIFS(DATOS!AR:AR,DATOS!$B:$B,'FORMULAS%'!$I8,DATOS!$E:$E,'FORMULAS%'!$J8),"0")</f>
        <v>0</v>
      </c>
      <c r="L8" s="242">
        <f>IFERROR(AVERAGEIFS(DATOS!AS:AS,DATOS!$B:$B,'FORMULAS%'!$I8,DATOS!$E:$E,'FORMULAS%'!$J8),"0")</f>
        <v>1.0045454545454546</v>
      </c>
      <c r="M8" s="242">
        <f>IFERROR(AVERAGEIFS(DATOS!AT:AT,DATOS!$B:$B,'FORMULAS%'!$I8,DATOS!$E:$E,'FORMULAS%'!$J8),"0")</f>
        <v>1</v>
      </c>
      <c r="N8" s="242">
        <f>IFERROR(AVERAGEIFS(DATOS!AU:AU,DATOS!$B:$B,'FORMULAS%'!$I8,DATOS!$E:$E,'FORMULAS%'!$J8),"0")</f>
        <v>0.88071428571428567</v>
      </c>
      <c r="O8" s="242">
        <f>IFERROR(AVERAGEIFS(DATOS!AV:AV,DATOS!$B:$B,'FORMULAS%'!$I8,DATOS!$E:$E,'FORMULAS%'!$J8),"0")</f>
        <v>0</v>
      </c>
      <c r="AA8" t="s">
        <v>1067</v>
      </c>
      <c r="AB8" s="303" t="s">
        <v>251</v>
      </c>
      <c r="AD8" s="163" t="s">
        <v>775</v>
      </c>
      <c r="AI8" s="163" t="s">
        <v>665</v>
      </c>
      <c r="AJ8" s="189" t="s">
        <v>582</v>
      </c>
      <c r="AL8" s="189" t="s">
        <v>503</v>
      </c>
      <c r="AN8" s="1" t="s">
        <v>145</v>
      </c>
      <c r="AO8" t="str">
        <f>DATOS!J8</f>
        <v>GESTIÓN JURÍDICA DISTRITAL</v>
      </c>
    </row>
    <row r="9" spans="1:41" ht="39.6" customHeight="1" x14ac:dyDescent="0.3">
      <c r="A9" s="147" t="s">
        <v>353</v>
      </c>
      <c r="B9" s="127">
        <f>IFERROR(AVERAGEIFS(DATOS!AR:AR,DATOS!$B:$B,'FORMULAS%'!$A9),"0")</f>
        <v>0.97923076923076935</v>
      </c>
      <c r="C9" s="127">
        <f>IFERROR(AVERAGEIFS(DATOS!AS:AS,DATOS!$B:$B,'FORMULAS%'!$A9),"0")</f>
        <v>1.1858776480803446</v>
      </c>
      <c r="D9" s="127">
        <f>IFERROR(AVERAGEIFS(DATOS!AT:AT,DATOS!$B:$B,'FORMULAS%'!$A9),"0")</f>
        <v>0.93726666666666658</v>
      </c>
      <c r="E9" s="127">
        <f>IFERROR(AVERAGEIFS(DATOS!AU:AU,DATOS!$B:$B,'FORMULAS%'!$A9),"0")</f>
        <v>1.9932766439909295</v>
      </c>
      <c r="F9" s="127">
        <f>IFERROR(AVERAGEIFS(DATOS!AV:AV,DATOS!$B:$B,'FORMULAS%'!$A9),"0")</f>
        <v>0</v>
      </c>
      <c r="I9" s="241" t="s">
        <v>353</v>
      </c>
      <c r="J9" s="243" t="s">
        <v>443</v>
      </c>
      <c r="K9" s="242">
        <f>IFERROR(AVERAGEIFS(DATOS!AR:AR,DATOS!$B:$B,'FORMULAS%'!$I9,DATOS!$E:$E,'FORMULAS%'!$J9),"0")</f>
        <v>1.25</v>
      </c>
      <c r="L9" s="242">
        <f>IFERROR(AVERAGEIFS(DATOS!AS:AS,DATOS!$B:$B,'FORMULAS%'!$I9,DATOS!$E:$E,'FORMULAS%'!$J9),"0")</f>
        <v>1</v>
      </c>
      <c r="M9" s="242">
        <f>IFERROR(AVERAGEIFS(DATOS!AT:AT,DATOS!$B:$B,'FORMULAS%'!$I9,DATOS!$E:$E,'FORMULAS%'!$J9),"0")</f>
        <v>1</v>
      </c>
      <c r="N9" s="242">
        <f>IFERROR(AVERAGEIFS(DATOS!AU:AU,DATOS!$B:$B,'FORMULAS%'!$I9,DATOS!$E:$E,'FORMULAS%'!$J9),"0")</f>
        <v>0.88350340136054417</v>
      </c>
      <c r="O9" s="242">
        <f>IFERROR(AVERAGEIFS(DATOS!AV:AV,DATOS!$B:$B,'FORMULAS%'!$I9,DATOS!$E:$E,'FORMULAS%'!$J9),"0")</f>
        <v>0</v>
      </c>
      <c r="AA9" t="s">
        <v>1068</v>
      </c>
      <c r="AB9" s="292" t="s">
        <v>266</v>
      </c>
      <c r="AD9" s="163" t="s">
        <v>786</v>
      </c>
      <c r="AI9" s="163" t="s">
        <v>672</v>
      </c>
      <c r="AJ9" s="189" t="s">
        <v>868</v>
      </c>
      <c r="AL9" s="228" t="s">
        <v>845</v>
      </c>
      <c r="AN9" s="1" t="s">
        <v>146</v>
      </c>
      <c r="AO9" t="str">
        <f>DATOS!J9</f>
        <v>GESTIÓN JURÍDICA DISTRITAL</v>
      </c>
    </row>
    <row r="10" spans="1:41" ht="42.75" x14ac:dyDescent="0.3">
      <c r="A10" s="126" t="s">
        <v>587</v>
      </c>
      <c r="B10" s="127" t="str">
        <f>IFERROR(AVERAGEIFS(DATOS!AR:AR,DATOS!$B:$B,'FORMULAS%'!$A10),"0")</f>
        <v>0</v>
      </c>
      <c r="C10" s="127">
        <f>IFERROR(AVERAGEIFS(DATOS!AS:AS,DATOS!$B:$B,'FORMULAS%'!$A10),"0")</f>
        <v>1</v>
      </c>
      <c r="D10" s="127">
        <f>IFERROR(AVERAGEIFS(DATOS!AT:AT,DATOS!$B:$B,'FORMULAS%'!$A10),"0")</f>
        <v>1</v>
      </c>
      <c r="E10" s="127">
        <f>IFERROR(AVERAGEIFS(DATOS!AU:AU,DATOS!$B:$B,'FORMULAS%'!$A10),"0")</f>
        <v>0.78036111111111106</v>
      </c>
      <c r="F10" s="127">
        <f>IFERROR(AVERAGEIFS(DATOS!AV:AV,DATOS!$B:$B,'FORMULAS%'!$A10),"0")</f>
        <v>0</v>
      </c>
      <c r="I10" s="241" t="s">
        <v>587</v>
      </c>
      <c r="J10" s="243" t="s">
        <v>443</v>
      </c>
      <c r="K10" s="242" t="str">
        <f>IFERROR(AVERAGEIFS(DATOS!AR:AR,DATOS!$B:$B,'FORMULAS%'!$I10,DATOS!$E:$E,'FORMULAS%'!$J10),"0")</f>
        <v>0</v>
      </c>
      <c r="L10" s="242">
        <f>IFERROR(AVERAGEIFS(DATOS!AS:AS,DATOS!$B:$B,'FORMULAS%'!$I10,DATOS!$E:$E,'FORMULAS%'!$J10),"0")</f>
        <v>1</v>
      </c>
      <c r="M10" s="242">
        <f>IFERROR(AVERAGEIFS(DATOS!AT:AT,DATOS!$B:$B,'FORMULAS%'!$I10,DATOS!$E:$E,'FORMULAS%'!$J10),"0")</f>
        <v>1</v>
      </c>
      <c r="N10" s="242">
        <f>IFERROR(AVERAGEIFS(DATOS!AU:AU,DATOS!$B:$B,'FORMULAS%'!$I10,DATOS!$E:$E,'FORMULAS%'!$J10),"0")</f>
        <v>0.78036111111111106</v>
      </c>
      <c r="O10" s="242">
        <f>IFERROR(AVERAGEIFS(DATOS!AV:AV,DATOS!$B:$B,'FORMULAS%'!$I10,DATOS!$E:$E,'FORMULAS%'!$J10),"0")</f>
        <v>0</v>
      </c>
      <c r="AA10" t="s">
        <v>1</v>
      </c>
      <c r="AB10" s="293" t="s">
        <v>280</v>
      </c>
      <c r="AD10" s="163" t="s">
        <v>1169</v>
      </c>
      <c r="AI10" s="163" t="s">
        <v>1146</v>
      </c>
      <c r="AJ10" s="163" t="s">
        <v>882</v>
      </c>
      <c r="AL10" s="489" t="s">
        <v>856</v>
      </c>
      <c r="AN10" s="1" t="s">
        <v>147</v>
      </c>
      <c r="AO10" t="str">
        <f>DATOS!J10</f>
        <v>Gestión Jurídica y Extrajudicial del DC</v>
      </c>
    </row>
    <row r="11" spans="1:41" ht="28.5" x14ac:dyDescent="0.25">
      <c r="A11" s="126" t="s">
        <v>386</v>
      </c>
      <c r="B11" s="127">
        <f>IFERROR(AVERAGEIFS(DATOS!AR:AR,DATOS!$B:$B,'FORMULAS%'!$A11),"0")</f>
        <v>0.995</v>
      </c>
      <c r="C11" s="127">
        <f>IFERROR(AVERAGEIFS(DATOS!AS:AS,DATOS!$B:$B,'FORMULAS%'!$A11),"0")</f>
        <v>1.0030927835051546</v>
      </c>
      <c r="D11" s="127">
        <f>IFERROR(AVERAGEIFS(DATOS!AT:AT,DATOS!$B:$B,'FORMULAS%'!$A11),"0")</f>
        <v>1</v>
      </c>
      <c r="E11" s="127">
        <f>IFERROR(AVERAGEIFS(DATOS!AU:AU,DATOS!$B:$B,'FORMULAS%'!$A11),"0")</f>
        <v>0.77571536655899476</v>
      </c>
      <c r="F11" s="127">
        <f>IFERROR(AVERAGEIFS(DATOS!AV:AV,DATOS!$B:$B,'FORMULAS%'!$A11),"0")</f>
        <v>0</v>
      </c>
      <c r="I11" s="241" t="s">
        <v>386</v>
      </c>
      <c r="J11" s="243" t="s">
        <v>443</v>
      </c>
      <c r="K11" s="242" t="str">
        <f>IFERROR(AVERAGEIFS(DATOS!AR:AR,DATOS!$B:$B,'FORMULAS%'!$I11,DATOS!$E:$E,'FORMULAS%'!$J11),"0")</f>
        <v>0</v>
      </c>
      <c r="L11" s="242">
        <f>IFERROR(AVERAGEIFS(DATOS!AS:AS,DATOS!$B:$B,'FORMULAS%'!$I11,DATOS!$E:$E,'FORMULAS%'!$J11),"0")</f>
        <v>1.0077319587628866</v>
      </c>
      <c r="M11" s="242">
        <f>IFERROR(AVERAGEIFS(DATOS!AT:AT,DATOS!$B:$B,'FORMULAS%'!$I11,DATOS!$E:$E,'FORMULAS%'!$J11),"0")</f>
        <v>1</v>
      </c>
      <c r="N11" s="242">
        <f>IFERROR(AVERAGEIFS(DATOS!AU:AU,DATOS!$B:$B,'FORMULAS%'!$I11,DATOS!$E:$E,'FORMULAS%'!$J11),"0")</f>
        <v>0.75350410267199663</v>
      </c>
      <c r="O11" s="242">
        <f>IFERROR(AVERAGEIFS(DATOS!AV:AV,DATOS!$B:$B,'FORMULAS%'!$I11,DATOS!$E:$E,'FORMULAS%'!$J11),"0")</f>
        <v>0</v>
      </c>
      <c r="AA11" t="s">
        <v>1069</v>
      </c>
      <c r="AB11" s="293" t="s">
        <v>292</v>
      </c>
      <c r="AD11" s="163" t="s">
        <v>800</v>
      </c>
      <c r="AI11" s="163" t="s">
        <v>689</v>
      </c>
      <c r="AN11" s="1" t="s">
        <v>148</v>
      </c>
      <c r="AO11" t="str">
        <f>DATOS!J11</f>
        <v>INSPECCIÓN VIGILANCIA Y CONTROL ESAL</v>
      </c>
    </row>
    <row r="12" spans="1:41" ht="42.75" x14ac:dyDescent="0.25">
      <c r="A12" s="126" t="s">
        <v>174</v>
      </c>
      <c r="B12" s="127">
        <f>IFERROR(AVERAGEIFS(DATOS!AR:AR,DATOS!$B:$B,'FORMULAS%'!$A12),"0")</f>
        <v>1.0674157303370786</v>
      </c>
      <c r="C12" s="127">
        <f>IFERROR(AVERAGEIFS(DATOS!AS:AS,DATOS!$B:$B,'FORMULAS%'!$A12),"0")</f>
        <v>1.054997043169722</v>
      </c>
      <c r="D12" s="127">
        <f>IFERROR(AVERAGEIFS(DATOS!AT:AT,DATOS!$B:$B,'FORMULAS%'!$A12),"0")</f>
        <v>1</v>
      </c>
      <c r="E12" s="127">
        <f>IFERROR(AVERAGEIFS(DATOS!AU:AU,DATOS!$B:$B,'FORMULAS%'!$A12),"0")</f>
        <v>0.98526276365069976</v>
      </c>
      <c r="F12" s="127">
        <f>IFERROR(AVERAGEIFS(DATOS!AV:AV,DATOS!$B:$B,'FORMULAS%'!$A12),"0")</f>
        <v>0</v>
      </c>
      <c r="I12" s="241" t="s">
        <v>174</v>
      </c>
      <c r="J12" s="243" t="s">
        <v>443</v>
      </c>
      <c r="K12" s="242" t="str">
        <f>IFERROR(AVERAGEIFS(DATOS!AR:AR,DATOS!$B:$B,'FORMULAS%'!$I12,DATOS!$E:$E,'FORMULAS%'!$J12),"0")</f>
        <v>0</v>
      </c>
      <c r="L12" s="242">
        <f>IFERROR(AVERAGEIFS(DATOS!AS:AS,DATOS!$B:$B,'FORMULAS%'!$I12,DATOS!$E:$E,'FORMULAS%'!$J12),"0")</f>
        <v>1.0263157894736841</v>
      </c>
      <c r="M12" s="242">
        <f>IFERROR(AVERAGEIFS(DATOS!AT:AT,DATOS!$B:$B,'FORMULAS%'!$I12,DATOS!$E:$E,'FORMULAS%'!$J12),"0")</f>
        <v>1</v>
      </c>
      <c r="N12" s="242">
        <f>IFERROR(AVERAGEIFS(DATOS!AU:AU,DATOS!$B:$B,'FORMULAS%'!$I12,DATOS!$E:$E,'FORMULAS%'!$J12),"0")</f>
        <v>0.92873684210526308</v>
      </c>
      <c r="O12" s="242">
        <f>IFERROR(AVERAGEIFS(DATOS!AV:AV,DATOS!$B:$B,'FORMULAS%'!$I12,DATOS!$E:$E,'FORMULAS%'!$J12),"0")</f>
        <v>0</v>
      </c>
      <c r="AA12" t="s">
        <v>1070</v>
      </c>
      <c r="AB12" s="293" t="s">
        <v>306</v>
      </c>
      <c r="AD12" s="163" t="s">
        <v>1158</v>
      </c>
      <c r="AN12" s="1" t="s">
        <v>149</v>
      </c>
      <c r="AO12" t="str">
        <f>DATOS!J12</f>
        <v>INSPECCIÓN VIGILANCIA Y CONTROL ESAL</v>
      </c>
    </row>
    <row r="13" spans="1:41" ht="28.5" x14ac:dyDescent="0.25">
      <c r="I13" s="239" t="s">
        <v>441</v>
      </c>
      <c r="J13" s="244" t="s">
        <v>177</v>
      </c>
      <c r="K13" s="240" t="str">
        <f>IFERROR(AVERAGEIFS(DATOS!AR:AR,DATOS!$B:$B,'FORMULAS%'!$I13,DATOS!$E:$E,'FORMULAS%'!$J13),"0")</f>
        <v>0</v>
      </c>
      <c r="L13" s="240" t="str">
        <f>IFERROR(AVERAGEIFS(DATOS!AS:AS,DATOS!$B:$B,'FORMULAS%'!$I13,DATOS!$E:$E,'FORMULAS%'!$J13),"0")</f>
        <v>0</v>
      </c>
      <c r="M13" s="240" t="str">
        <f>IFERROR(AVERAGEIFS(DATOS!AT:AT,DATOS!$B:$B,'FORMULAS%'!$I13,DATOS!$E:$E,'FORMULAS%'!$J13),"0")</f>
        <v>0</v>
      </c>
      <c r="N13" s="240" t="str">
        <f>IFERROR(AVERAGEIFS(DATOS!AU:AU,DATOS!$B:$B,'FORMULAS%'!$I13,DATOS!$E:$E,'FORMULAS%'!$J13),"0")</f>
        <v>0</v>
      </c>
      <c r="O13" s="240" t="str">
        <f>IFERROR(AVERAGEIFS(DATOS!AV:AV,DATOS!$B:$B,'FORMULAS%'!$I13,DATOS!$E:$E,'FORMULAS%'!$J13),"0")</f>
        <v>0</v>
      </c>
      <c r="AA13" t="s">
        <v>1071</v>
      </c>
      <c r="AB13" s="293" t="s">
        <v>320</v>
      </c>
      <c r="AD13" s="163" t="s">
        <v>813</v>
      </c>
      <c r="AN13" s="1" t="s">
        <v>150</v>
      </c>
      <c r="AO13" t="str">
        <f>DATOS!J13</f>
        <v>GESTIÓN DISCIPLINARIA DISTRITAL</v>
      </c>
    </row>
    <row r="14" spans="1:41" ht="42.75" x14ac:dyDescent="0.25">
      <c r="A14" s="135"/>
      <c r="B14" s="136"/>
      <c r="C14" s="136"/>
      <c r="D14" s="136"/>
      <c r="E14" s="136"/>
      <c r="F14" s="136"/>
      <c r="I14" s="239" t="s">
        <v>703</v>
      </c>
      <c r="J14" s="244" t="s">
        <v>177</v>
      </c>
      <c r="K14" s="240" t="str">
        <f>IFERROR(AVERAGEIFS(DATOS!AR:AR,DATOS!$B:$B,'FORMULAS%'!$I14,DATOS!$E:$E,'FORMULAS%'!$J14),"0")</f>
        <v>0</v>
      </c>
      <c r="L14" s="240" t="str">
        <f>IFERROR(AVERAGEIFS(DATOS!AS:AS,DATOS!$B:$B,'FORMULAS%'!$I14,DATOS!$E:$E,'FORMULAS%'!$J14),"0")</f>
        <v>0</v>
      </c>
      <c r="M14" s="240" t="str">
        <f>IFERROR(AVERAGEIFS(DATOS!AT:AT,DATOS!$B:$B,'FORMULAS%'!$I14,DATOS!$E:$E,'FORMULAS%'!$J14),"0")</f>
        <v>0</v>
      </c>
      <c r="N14" s="240" t="str">
        <f>IFERROR(AVERAGEIFS(DATOS!AU:AU,DATOS!$B:$B,'FORMULAS%'!$I14,DATOS!$E:$E,'FORMULAS%'!$J14),"0")</f>
        <v>0</v>
      </c>
      <c r="O14" s="240" t="str">
        <f>IFERROR(AVERAGEIFS(DATOS!AV:AV,DATOS!$B:$B,'FORMULAS%'!$I14,DATOS!$E:$E,'FORMULAS%'!$J14),"0")</f>
        <v>0</v>
      </c>
      <c r="AB14" s="293" t="s">
        <v>334</v>
      </c>
      <c r="AD14" s="163" t="s">
        <v>835</v>
      </c>
      <c r="AK14" s="189"/>
      <c r="AN14" s="1" t="s">
        <v>37</v>
      </c>
      <c r="AO14" t="str">
        <f>DATOS!J14</f>
        <v>GESTIÓN DISCIPLINARIA DISTRITAL</v>
      </c>
    </row>
    <row r="15" spans="1:41" ht="54" x14ac:dyDescent="0.25">
      <c r="A15" s="79" t="s">
        <v>1072</v>
      </c>
      <c r="B15" s="125" t="s">
        <v>112</v>
      </c>
      <c r="C15" s="125" t="s">
        <v>113</v>
      </c>
      <c r="D15" s="125" t="s">
        <v>114</v>
      </c>
      <c r="E15" s="125" t="s">
        <v>115</v>
      </c>
      <c r="F15" s="125" t="s">
        <v>116</v>
      </c>
      <c r="I15" s="239" t="s">
        <v>290</v>
      </c>
      <c r="J15" s="244" t="s">
        <v>177</v>
      </c>
      <c r="K15" s="240" t="str">
        <f>IFERROR(AVERAGEIFS(DATOS!AR:AR,DATOS!$B:$B,'FORMULAS%'!$I15,DATOS!$E:$E,'FORMULAS%'!$J15),"0")</f>
        <v>0</v>
      </c>
      <c r="L15" s="240">
        <f>IFERROR(AVERAGEIFS(DATOS!AS:AS,DATOS!$B:$B,'FORMULAS%'!$I15,DATOS!$E:$E,'FORMULAS%'!$J15),"0")</f>
        <v>1.0762857142857143</v>
      </c>
      <c r="M15" s="240">
        <f>IFERROR(AVERAGEIFS(DATOS!AT:AT,DATOS!$B:$B,'FORMULAS%'!$I15,DATOS!$E:$E,'FORMULAS%'!$J15),"0")</f>
        <v>1</v>
      </c>
      <c r="N15" s="240">
        <f>IFERROR(AVERAGEIFS(DATOS!AU:AU,DATOS!$B:$B,'FORMULAS%'!$I15,DATOS!$E:$E,'FORMULAS%'!$J15),"0")</f>
        <v>0.40949999999999998</v>
      </c>
      <c r="O15" s="240">
        <f>IFERROR(AVERAGEIFS(DATOS!AV:AV,DATOS!$B:$B,'FORMULAS%'!$I15,DATOS!$E:$E,'FORMULAS%'!$J15),"0")</f>
        <v>0</v>
      </c>
      <c r="AB15" s="303" t="s">
        <v>344</v>
      </c>
      <c r="AO15" t="str">
        <f>DATOS!J15</f>
        <v>GESTIÓN NORMATIVA Y CONCEPTUAL</v>
      </c>
    </row>
    <row r="16" spans="1:41" ht="27" x14ac:dyDescent="0.25">
      <c r="A16" s="141" t="s">
        <v>180</v>
      </c>
      <c r="B16" s="132">
        <f>IFERROR(AVERAGEIFS(DATOS!AR:AR,DATOS!$I:$I,'FORMULAS%'!$A16),"0")</f>
        <v>1.1092331460674156</v>
      </c>
      <c r="C16" s="132">
        <f>IFERROR(AVERAGEIFS(DATOS!AS:AS,DATOS!$I:$I,'FORMULAS%'!$A16),"0")</f>
        <v>1.0294885489417887</v>
      </c>
      <c r="D16" s="132">
        <f>IFERROR(AVERAGEIFS(DATOS!AT:AT,DATOS!$I:$I,'FORMULAS%'!$A16),"0")</f>
        <v>0.96058823529411752</v>
      </c>
      <c r="E16" s="132">
        <f>IFERROR(AVERAGEIFS(DATOS!AU:AU,DATOS!$I:$I,'FORMULAS%'!$A16),"0")</f>
        <v>0.80681190465857389</v>
      </c>
      <c r="F16" s="132">
        <f>IFERROR(AVERAGEIFS(DATOS!AV:AV,DATOS!$I:$I,'FORMULAS%'!$A16),"0")</f>
        <v>0</v>
      </c>
      <c r="I16" s="239" t="s">
        <v>317</v>
      </c>
      <c r="J16" s="244" t="s">
        <v>177</v>
      </c>
      <c r="K16" s="240" t="str">
        <f>IFERROR(AVERAGEIFS(DATOS!AR:AR,DATOS!$B:$B,'FORMULAS%'!$I16,DATOS!$E:$E,'FORMULAS%'!$J16),"0")</f>
        <v>0</v>
      </c>
      <c r="L16" s="240">
        <f>IFERROR(AVERAGEIFS(DATOS!AS:AS,DATOS!$B:$B,'FORMULAS%'!$I16,DATOS!$E:$E,'FORMULAS%'!$J16),"0")</f>
        <v>1.1495417269657502</v>
      </c>
      <c r="M16" s="240">
        <f>IFERROR(AVERAGEIFS(DATOS!AT:AT,DATOS!$B:$B,'FORMULAS%'!$I16,DATOS!$E:$E,'FORMULAS%'!$J16),"0")</f>
        <v>1</v>
      </c>
      <c r="N16" s="240">
        <f>IFERROR(AVERAGEIFS(DATOS!AU:AU,DATOS!$B:$B,'FORMULAS%'!$I16,DATOS!$E:$E,'FORMULAS%'!$J16),"0")</f>
        <v>1.8332462556600486</v>
      </c>
      <c r="O16" s="240">
        <f>IFERROR(AVERAGEIFS(DATOS!AV:AV,DATOS!$B:$B,'FORMULAS%'!$I16,DATOS!$E:$E,'FORMULAS%'!$J16),"0")</f>
        <v>0</v>
      </c>
      <c r="AB16" s="303" t="s">
        <v>355</v>
      </c>
      <c r="AO16" t="str">
        <f>DATOS!J16</f>
        <v>GESTIÓN NORMATIVA Y CONCEPTUAL</v>
      </c>
    </row>
    <row r="17" spans="1:41" ht="40.5" x14ac:dyDescent="0.25">
      <c r="A17" s="141" t="s">
        <v>357</v>
      </c>
      <c r="B17" s="132">
        <f>IFERROR(AVERAGEIFS(DATOS!AR:AR,DATOS!$I:$I,'FORMULAS%'!$A17),"0")</f>
        <v>0.97923076923076935</v>
      </c>
      <c r="C17" s="132">
        <f>IFERROR(AVERAGEIFS(DATOS!AS:AS,DATOS!$I:$I,'FORMULAS%'!$A17),"0")</f>
        <v>1.086567728633971</v>
      </c>
      <c r="D17" s="132">
        <f>IFERROR(AVERAGEIFS(DATOS!AT:AT,DATOS!$I:$I,'FORMULAS%'!$A17),"0")</f>
        <v>0.97017419354838708</v>
      </c>
      <c r="E17" s="132">
        <f>IFERROR(AVERAGEIFS(DATOS!AU:AU,DATOS!$I:$I,'FORMULAS%'!$A17),"0")</f>
        <v>1.1313106846139207</v>
      </c>
      <c r="F17" s="132">
        <f>IFERROR(AVERAGEIFS(DATOS!AV:AV,DATOS!$I:$I,'FORMULAS%'!$A17),"0")</f>
        <v>0</v>
      </c>
      <c r="I17" s="239" t="s">
        <v>250</v>
      </c>
      <c r="J17" s="244" t="s">
        <v>177</v>
      </c>
      <c r="K17" s="240">
        <f>IFERROR(AVERAGEIFS(DATOS!AR:AR,DATOS!$B:$B,'FORMULAS%'!$I17,DATOS!$E:$E,'FORMULAS%'!$J17),"0")</f>
        <v>1.0526506024096387</v>
      </c>
      <c r="L17" s="240">
        <f>IFERROR(AVERAGEIFS(DATOS!AS:AS,DATOS!$B:$B,'FORMULAS%'!$I17,DATOS!$E:$E,'FORMULAS%'!$J17),"0")</f>
        <v>1.0640963855421686</v>
      </c>
      <c r="M17" s="240">
        <f>IFERROR(AVERAGEIFS(DATOS!AT:AT,DATOS!$B:$B,'FORMULAS%'!$I17,DATOS!$E:$E,'FORMULAS%'!$J17),"0")</f>
        <v>1</v>
      </c>
      <c r="N17" s="240">
        <f>IFERROR(AVERAGEIFS(DATOS!AU:AU,DATOS!$B:$B,'FORMULAS%'!$I17,DATOS!$E:$E,'FORMULAS%'!$J17),"0")</f>
        <v>1.0566265060240965</v>
      </c>
      <c r="O17" s="240">
        <f>IFERROR(AVERAGEIFS(DATOS!AV:AV,DATOS!$B:$B,'FORMULAS%'!$I17,DATOS!$E:$E,'FORMULAS%'!$J17),"0")</f>
        <v>0</v>
      </c>
      <c r="AB17" s="303" t="s">
        <v>4</v>
      </c>
      <c r="AO17" t="str">
        <f>DATOS!J17</f>
        <v>GESTIÓN NORMATIVA Y CONCEPTUAL</v>
      </c>
    </row>
    <row r="18" spans="1:41" ht="27" x14ac:dyDescent="0.25">
      <c r="A18" s="141" t="s">
        <v>253</v>
      </c>
      <c r="B18" s="132">
        <f>IFERROR(AVERAGEIFS(DATOS!AR:AR,DATOS!$I:$I,'FORMULAS%'!$A18),"0")</f>
        <v>1.0213253012048193</v>
      </c>
      <c r="C18" s="132">
        <f>IFERROR(AVERAGEIFS(DATOS!AS:AS,DATOS!$I:$I,'FORMULAS%'!$A18),"0")</f>
        <v>1.0512721566439418</v>
      </c>
      <c r="D18" s="132">
        <f>IFERROR(AVERAGEIFS(DATOS!AT:AT,DATOS!$I:$I,'FORMULAS%'!$A18),"0")</f>
        <v>1</v>
      </c>
      <c r="E18" s="132">
        <f>IFERROR(AVERAGEIFS(DATOS!AU:AU,DATOS!$I:$I,'FORMULAS%'!$A18),"0")</f>
        <v>1.2145961414449158</v>
      </c>
      <c r="F18" s="132">
        <f>IFERROR(AVERAGEIFS(DATOS!AV:AV,DATOS!$I:$I,'FORMULAS%'!$A18),"0")</f>
        <v>0</v>
      </c>
      <c r="I18" s="239" t="s">
        <v>264</v>
      </c>
      <c r="J18" s="244" t="s">
        <v>177</v>
      </c>
      <c r="K18" s="240">
        <f>IFERROR(AVERAGEIFS(DATOS!AR:AR,DATOS!$B:$B,'FORMULAS%'!$I18,DATOS!$E:$E,'FORMULAS%'!$J18),"0")</f>
        <v>1.47875</v>
      </c>
      <c r="L18" s="240">
        <f>IFERROR(AVERAGEIFS(DATOS!AS:AS,DATOS!$B:$B,'FORMULAS%'!$I18,DATOS!$E:$E,'FORMULAS%'!$J18),"0")</f>
        <v>1.0076666666666667</v>
      </c>
      <c r="M18" s="240">
        <f>IFERROR(AVERAGEIFS(DATOS!AT:AT,DATOS!$B:$B,'FORMULAS%'!$I18,DATOS!$E:$E,'FORMULAS%'!$J18),"0")</f>
        <v>1</v>
      </c>
      <c r="N18" s="240">
        <f>IFERROR(AVERAGEIFS(DATOS!AU:AU,DATOS!$B:$B,'FORMULAS%'!$I18,DATOS!$E:$E,'FORMULAS%'!$J18),"0")</f>
        <v>0.73013849765258221</v>
      </c>
      <c r="O18" s="240">
        <f>IFERROR(AVERAGEIFS(DATOS!AV:AV,DATOS!$B:$B,'FORMULAS%'!$I18,DATOS!$E:$E,'FORMULAS%'!$J18),"0")</f>
        <v>0</v>
      </c>
      <c r="AB18" s="293" t="s">
        <v>380</v>
      </c>
      <c r="AO18" t="str">
        <f>DATOS!J18</f>
        <v>PLANEACIÓN Y MEJORA CONTINUA</v>
      </c>
    </row>
    <row r="19" spans="1:41" x14ac:dyDescent="0.25">
      <c r="A19" s="141" t="s">
        <v>390</v>
      </c>
      <c r="B19" s="132">
        <f>IFERROR(AVERAGEIFS(DATOS!AR:AR,DATOS!$I:$I,'FORMULAS%'!$A19),"0")</f>
        <v>1</v>
      </c>
      <c r="C19" s="132">
        <f>IFERROR(AVERAGEIFS(DATOS!AS:AS,DATOS!$I:$I,'FORMULAS%'!$A19),"0")</f>
        <v>1.0061855670103093</v>
      </c>
      <c r="D19" s="132">
        <f>IFERROR(AVERAGEIFS(DATOS!AT:AT,DATOS!$I:$I,'FORMULAS%'!$A19),"0")</f>
        <v>1</v>
      </c>
      <c r="E19" s="132">
        <f>IFERROR(AVERAGEIFS(DATOS!AU:AU,DATOS!$I:$I,'FORMULAS%'!$A19),"0")</f>
        <v>0.5987216494845361</v>
      </c>
      <c r="F19" s="132">
        <f>IFERROR(AVERAGEIFS(DATOS!AV:AV,DATOS!$I:$I,'FORMULAS%'!$A19),"0")</f>
        <v>0</v>
      </c>
      <c r="I19" s="239" t="s">
        <v>201</v>
      </c>
      <c r="J19" s="244" t="s">
        <v>177</v>
      </c>
      <c r="K19" s="240">
        <f>IFERROR(AVERAGEIFS(DATOS!AR:AR,DATOS!$B:$B,'FORMULAS%'!$I19,DATOS!$E:$E,'FORMULAS%'!$J19),"0")</f>
        <v>1</v>
      </c>
      <c r="L19" s="240">
        <f>IFERROR(AVERAGEIFS(DATOS!AS:AS,DATOS!$B:$B,'FORMULAS%'!$I19,DATOS!$E:$E,'FORMULAS%'!$J19),"0")</f>
        <v>1</v>
      </c>
      <c r="M19" s="240">
        <f>IFERROR(AVERAGEIFS(DATOS!AT:AT,DATOS!$B:$B,'FORMULAS%'!$I19,DATOS!$E:$E,'FORMULAS%'!$J19),"0")</f>
        <v>0.86599999999999999</v>
      </c>
      <c r="N19" s="240">
        <f>IFERROR(AVERAGEIFS(DATOS!AU:AU,DATOS!$B:$B,'FORMULAS%'!$I19,DATOS!$E:$E,'FORMULAS%'!$J19),"0")</f>
        <v>0.89</v>
      </c>
      <c r="O19" s="240">
        <f>IFERROR(AVERAGEIFS(DATOS!AV:AV,DATOS!$B:$B,'FORMULAS%'!$I19,DATOS!$E:$E,'FORMULAS%'!$J19),"0")</f>
        <v>0</v>
      </c>
      <c r="AB19" s="303" t="s">
        <v>388</v>
      </c>
      <c r="AO19" t="str">
        <f>DATOS!J19</f>
        <v>PLANEACIÓN Y MEJORA CONTINUA</v>
      </c>
    </row>
    <row r="20" spans="1:41" ht="27" x14ac:dyDescent="0.25">
      <c r="D20" s="150">
        <f>AVERAGE(D16:D19)</f>
        <v>0.98269060721062618</v>
      </c>
      <c r="E20" s="150">
        <f t="shared" ref="E20:F20" si="0">AVERAGE(E16:E19)</f>
        <v>0.93786009505048662</v>
      </c>
      <c r="F20" s="150">
        <f t="shared" si="0"/>
        <v>0</v>
      </c>
      <c r="I20" s="239" t="s">
        <v>353</v>
      </c>
      <c r="J20" s="244" t="s">
        <v>177</v>
      </c>
      <c r="K20" s="240">
        <f>IFERROR(AVERAGEIFS(DATOS!AR:AR,DATOS!$B:$B,'FORMULAS%'!$I20,DATOS!$E:$E,'FORMULAS%'!$J20),"0")</f>
        <v>0.91153846153846152</v>
      </c>
      <c r="L20" s="240">
        <f>IFERROR(AVERAGEIFS(DATOS!AS:AS,DATOS!$B:$B,'FORMULAS%'!$I20,DATOS!$E:$E,'FORMULAS%'!$J20),"0")</f>
        <v>1.0454545454545454</v>
      </c>
      <c r="M20" s="240">
        <f>IFERROR(AVERAGEIFS(DATOS!AT:AT,DATOS!$B:$B,'FORMULAS%'!$I20,DATOS!$E:$E,'FORMULAS%'!$J20),"0")</f>
        <v>1</v>
      </c>
      <c r="N20" s="240">
        <f>IFERROR(AVERAGEIFS(DATOS!AU:AU,DATOS!$B:$B,'FORMULAS%'!$I20,DATOS!$E:$E,'FORMULAS%'!$J20),"0")</f>
        <v>0.88833333333333331</v>
      </c>
      <c r="O20" s="240">
        <f>IFERROR(AVERAGEIFS(DATOS!AV:AV,DATOS!$B:$B,'FORMULAS%'!$I20,DATOS!$E:$E,'FORMULAS%'!$J20),"0")</f>
        <v>0</v>
      </c>
      <c r="AB20" s="303" t="s">
        <v>404</v>
      </c>
      <c r="AO20" t="str">
        <f>DATOS!J20</f>
        <v>PLANEACIÓN Y MEJORA CONTINUA</v>
      </c>
    </row>
    <row r="21" spans="1:41" ht="27" x14ac:dyDescent="0.25">
      <c r="A21" s="135" t="s">
        <v>1073</v>
      </c>
      <c r="B21" s="136">
        <v>0.12</v>
      </c>
      <c r="C21" s="136">
        <v>0.26</v>
      </c>
      <c r="D21" s="136">
        <v>0.26</v>
      </c>
      <c r="E21" s="136">
        <v>0.26</v>
      </c>
      <c r="F21" s="136">
        <v>0.1</v>
      </c>
      <c r="I21" s="239" t="s">
        <v>587</v>
      </c>
      <c r="J21" s="244" t="s">
        <v>177</v>
      </c>
      <c r="K21" s="240" t="str">
        <f>IFERROR(AVERAGEIFS(DATOS!AR:AR,DATOS!$B:$B,'FORMULAS%'!$I21,DATOS!$E:$E,'FORMULAS%'!$J21),"0")</f>
        <v>0</v>
      </c>
      <c r="L21" s="240" t="str">
        <f>IFERROR(AVERAGEIFS(DATOS!AS:AS,DATOS!$B:$B,'FORMULAS%'!$I21,DATOS!$E:$E,'FORMULAS%'!$J21),"0")</f>
        <v>0</v>
      </c>
      <c r="M21" s="240" t="str">
        <f>IFERROR(AVERAGEIFS(DATOS!AT:AT,DATOS!$B:$B,'FORMULAS%'!$I21,DATOS!$E:$E,'FORMULAS%'!$J21),"0")</f>
        <v>0</v>
      </c>
      <c r="N21" s="240" t="str">
        <f>IFERROR(AVERAGEIFS(DATOS!AU:AU,DATOS!$B:$B,'FORMULAS%'!$I21,DATOS!$E:$E,'FORMULAS%'!$J21),"0")</f>
        <v>0</v>
      </c>
      <c r="O21" s="240" t="str">
        <f>IFERROR(AVERAGEIFS(DATOS!AV:AV,DATOS!$B:$B,'FORMULAS%'!$I21,DATOS!$E:$E,'FORMULAS%'!$J21),"0")</f>
        <v>0</v>
      </c>
      <c r="AB21" s="303" t="s">
        <v>417</v>
      </c>
      <c r="AO21" t="str">
        <f>DATOS!J21</f>
        <v>GESTIÓN DE TIC</v>
      </c>
    </row>
    <row r="22" spans="1:41" ht="25.5" x14ac:dyDescent="0.25">
      <c r="A22" s="79" t="s">
        <v>1074</v>
      </c>
      <c r="B22" s="125" t="s">
        <v>112</v>
      </c>
      <c r="C22" s="125" t="s">
        <v>113</v>
      </c>
      <c r="D22" s="125" t="s">
        <v>114</v>
      </c>
      <c r="E22" s="125" t="s">
        <v>115</v>
      </c>
      <c r="F22" s="125" t="s">
        <v>116</v>
      </c>
      <c r="G22" s="151" t="s">
        <v>1075</v>
      </c>
      <c r="I22" s="239" t="s">
        <v>386</v>
      </c>
      <c r="J22" s="244" t="s">
        <v>177</v>
      </c>
      <c r="K22" s="240">
        <f>IFERROR(AVERAGEIFS(DATOS!AR:AR,DATOS!$B:$B,'FORMULAS%'!$I22,DATOS!$E:$E,'FORMULAS%'!$J22),"0")</f>
        <v>0.995</v>
      </c>
      <c r="L22" s="240">
        <f>IFERROR(AVERAGEIFS(DATOS!AS:AS,DATOS!$B:$B,'FORMULAS%'!$I22,DATOS!$E:$E,'FORMULAS%'!$J22),"0")</f>
        <v>1</v>
      </c>
      <c r="M22" s="240">
        <f>IFERROR(AVERAGEIFS(DATOS!AT:AT,DATOS!$B:$B,'FORMULAS%'!$I22,DATOS!$E:$E,'FORMULAS%'!$J22),"0")</f>
        <v>1</v>
      </c>
      <c r="N22" s="240">
        <f>IFERROR(AVERAGEIFS(DATOS!AU:AU,DATOS!$B:$B,'FORMULAS%'!$I22,DATOS!$E:$E,'FORMULAS%'!$J22),"0")</f>
        <v>0.75</v>
      </c>
      <c r="O22" s="240">
        <f>IFERROR(AVERAGEIFS(DATOS!AV:AV,DATOS!$B:$B,'FORMULAS%'!$I22,DATOS!$E:$E,'FORMULAS%'!$J22),"0")</f>
        <v>0</v>
      </c>
      <c r="AB22" s="303" t="s">
        <v>429</v>
      </c>
      <c r="AO22" t="str">
        <f>DATOS!J22</f>
        <v>GESTIÓN DE TIC</v>
      </c>
    </row>
    <row r="23" spans="1:41" ht="28.5" x14ac:dyDescent="0.25">
      <c r="A23" s="141" t="s">
        <v>180</v>
      </c>
      <c r="B23" s="132">
        <f>IFERROR((AVERAGEIFS(DATOS!AR:AR,DATOS!$I:$I,'FORMULAS%'!$A23)*B$21),"0")</f>
        <v>0.13310797752808987</v>
      </c>
      <c r="C23" s="132">
        <f>IFERROR((AVERAGEIFS(DATOS!AS:AS,DATOS!$I:$I,'FORMULAS%'!$A23)*C$21),"0")</f>
        <v>0.26766702272486503</v>
      </c>
      <c r="D23" s="132">
        <f>IFERROR((AVERAGEIFS(DATOS!AT:AT,DATOS!$I:$I,'FORMULAS%'!$A23)*D$21),"0")</f>
        <v>0.24975294117647057</v>
      </c>
      <c r="E23" s="132">
        <f>IFERROR((AVERAGEIFS(DATOS!AU:AU,DATOS!$I:$I,'FORMULAS%'!$A23)*E$21),"0")</f>
        <v>0.20977109521122922</v>
      </c>
      <c r="F23" s="132">
        <f>IFERROR((AVERAGEIFS(DATOS!AV:AV,DATOS!$I:$I,'FORMULAS%'!$A23)*F$21),"0")</f>
        <v>0</v>
      </c>
      <c r="G23" s="150">
        <f>SUM(B23:F23)</f>
        <v>0.86029903664065466</v>
      </c>
      <c r="I23" s="239" t="s">
        <v>174</v>
      </c>
      <c r="J23" s="244" t="s">
        <v>177</v>
      </c>
      <c r="K23" s="240">
        <f>IFERROR(AVERAGEIFS(DATOS!AR:AR,DATOS!$B:$B,'FORMULAS%'!$I23,DATOS!$E:$E,'FORMULAS%'!$J23),"0")</f>
        <v>1.0674157303370786</v>
      </c>
      <c r="L23" s="240">
        <f>IFERROR(AVERAGEIFS(DATOS!AS:AS,DATOS!$B:$B,'FORMULAS%'!$I23,DATOS!$E:$E,'FORMULAS%'!$J23),"0")</f>
        <v>1.1123595505617978</v>
      </c>
      <c r="M23" s="240">
        <f>IFERROR(AVERAGEIFS(DATOS!AT:AT,DATOS!$B:$B,'FORMULAS%'!$I23,DATOS!$E:$E,'FORMULAS%'!$J23),"0")</f>
        <v>1</v>
      </c>
      <c r="N23" s="240">
        <f>IFERROR(AVERAGEIFS(DATOS!AU:AU,DATOS!$B:$B,'FORMULAS%'!$I23,DATOS!$E:$E,'FORMULAS%'!$J23),"0")</f>
        <v>1.098314606741573</v>
      </c>
      <c r="O23" s="240">
        <f>IFERROR(AVERAGEIFS(DATOS!AV:AV,DATOS!$B:$B,'FORMULAS%'!$I23,DATOS!$E:$E,'FORMULAS%'!$J23),"0")</f>
        <v>0</v>
      </c>
      <c r="AB23" s="203" t="s">
        <v>460</v>
      </c>
      <c r="AO23" t="str">
        <f>DATOS!J23</f>
        <v>GESTIÓN DE TIC</v>
      </c>
    </row>
    <row r="24" spans="1:41" ht="28.5" x14ac:dyDescent="0.25">
      <c r="A24" s="141" t="s">
        <v>357</v>
      </c>
      <c r="B24" s="132">
        <f>IFERROR((AVERAGEIFS(DATOS!AR:AR,DATOS!$I:$I,'FORMULAS%'!$A24)*B$21),"0")</f>
        <v>0.11750769230769231</v>
      </c>
      <c r="C24" s="132">
        <f>IFERROR((AVERAGEIFS(DATOS!AS:AS,DATOS!$I:$I,'FORMULAS%'!$A24)*C$21),"0")</f>
        <v>0.28250760944483244</v>
      </c>
      <c r="D24" s="132">
        <f>IFERROR((AVERAGEIFS(DATOS!AT:AT,DATOS!$I:$I,'FORMULAS%'!$A24)*D$21),"0")</f>
        <v>0.25224529032258064</v>
      </c>
      <c r="E24" s="132">
        <f>IFERROR((AVERAGEIFS(DATOS!AU:AU,DATOS!$I:$I,'FORMULAS%'!$A24)*E$21),"0")</f>
        <v>0.29414077799961941</v>
      </c>
      <c r="F24" s="132">
        <f>IFERROR((AVERAGEIFS(DATOS!AV:AV,DATOS!$I:$I,'FORMULAS%'!$A24)*F$21),"0")</f>
        <v>0</v>
      </c>
      <c r="G24" s="150">
        <f t="shared" ref="G24:G26" si="1">SUM(B24:F24)</f>
        <v>0.94640137007472491</v>
      </c>
      <c r="I24" s="149" t="s">
        <v>1076</v>
      </c>
      <c r="AB24" s="203" t="s">
        <v>471</v>
      </c>
      <c r="AO24" t="str">
        <f>DATOS!J24</f>
        <v>GESTIÓN DE TIC</v>
      </c>
    </row>
    <row r="25" spans="1:41" x14ac:dyDescent="0.25">
      <c r="A25" s="141" t="s">
        <v>253</v>
      </c>
      <c r="B25" s="132">
        <f>IFERROR((AVERAGEIFS(DATOS!AR:AR,DATOS!$I:$I,'FORMULAS%'!$A25)*B$21),"0")</f>
        <v>0.12255903614457832</v>
      </c>
      <c r="C25" s="132">
        <f>IFERROR((AVERAGEIFS(DATOS!AS:AS,DATOS!$I:$I,'FORMULAS%'!$A25)*C$21),"0")</f>
        <v>0.2733307607274249</v>
      </c>
      <c r="D25" s="132">
        <f>IFERROR((AVERAGEIFS(DATOS!AT:AT,DATOS!$I:$I,'FORMULAS%'!$A25)*D$21),"0")</f>
        <v>0.26</v>
      </c>
      <c r="E25" s="132">
        <f>IFERROR((AVERAGEIFS(DATOS!AU:AU,DATOS!$I:$I,'FORMULAS%'!$A25)*E$21),"0")</f>
        <v>0.31579499677567813</v>
      </c>
      <c r="F25" s="132">
        <f>IFERROR((AVERAGEIFS(DATOS!AV:AV,DATOS!$I:$I,'FORMULAS%'!$A25)*F$21),"0")</f>
        <v>0</v>
      </c>
      <c r="G25" s="150">
        <f t="shared" si="1"/>
        <v>0.97168479364768134</v>
      </c>
      <c r="I25" s="148" t="s">
        <v>1077</v>
      </c>
      <c r="J25" s="131" t="s">
        <v>443</v>
      </c>
      <c r="K25" s="132">
        <f>IFERROR(AVERAGEIFS(K$2:K$23,$J$2:$J$23,$J25),"0")</f>
        <v>1.125</v>
      </c>
      <c r="L25" s="132">
        <f t="shared" ref="L25:O26" si="2">IFERROR(AVERAGEIFS(L$2:L$23,$J$2:$J$23,$J25),"0")</f>
        <v>1.0438263893149966</v>
      </c>
      <c r="M25" s="132">
        <f t="shared" si="2"/>
        <v>0.99351981351981355</v>
      </c>
      <c r="N25" s="132">
        <f t="shared" si="2"/>
        <v>0.93561317812548228</v>
      </c>
      <c r="O25" s="132">
        <f t="shared" si="2"/>
        <v>0</v>
      </c>
      <c r="AB25" s="163" t="s">
        <v>1097</v>
      </c>
      <c r="AO25" t="str">
        <f>DATOS!J85</f>
        <v>GESTIÓN DE LAS COMUNICACIONES</v>
      </c>
    </row>
    <row r="26" spans="1:41" ht="28.5" x14ac:dyDescent="0.25">
      <c r="A26" s="141" t="s">
        <v>390</v>
      </c>
      <c r="B26" s="132">
        <f>IFERROR((AVERAGEIFS(DATOS!AR:AR,DATOS!$I:$I,'FORMULAS%'!$A26)*B$21),"0")</f>
        <v>0.12</v>
      </c>
      <c r="C26" s="132">
        <f>IFERROR((AVERAGEIFS(DATOS!AS:AS,DATOS!$I:$I,'FORMULAS%'!$A26)*C$21),"0")</f>
        <v>0.26160824742268041</v>
      </c>
      <c r="D26" s="132">
        <f>IFERROR((AVERAGEIFS(DATOS!AT:AT,DATOS!$I:$I,'FORMULAS%'!$A26)*D$21),"0")</f>
        <v>0.26</v>
      </c>
      <c r="E26" s="132">
        <f>IFERROR((AVERAGEIFS(DATOS!AU:AU,DATOS!$I:$I,'FORMULAS%'!$A26)*E$21),"0")</f>
        <v>0.1556676288659794</v>
      </c>
      <c r="F26" s="132">
        <f>IFERROR((AVERAGEIFS(DATOS!AV:AV,DATOS!$I:$I,'FORMULAS%'!$A26)*F$21),"0")</f>
        <v>0</v>
      </c>
      <c r="G26" s="150">
        <f t="shared" si="1"/>
        <v>0.79727587628865981</v>
      </c>
      <c r="I26" s="148" t="s">
        <v>1077</v>
      </c>
      <c r="J26" s="131" t="s">
        <v>177</v>
      </c>
      <c r="K26" s="132">
        <f>IFERROR(AVERAGEIFS(K$2:K$23,$J$2:$J$23,$J26),"0")</f>
        <v>1.0842257990475297</v>
      </c>
      <c r="L26" s="132">
        <f t="shared" si="2"/>
        <v>1.0569255736845804</v>
      </c>
      <c r="M26" s="132">
        <f t="shared" si="2"/>
        <v>0.98324999999999996</v>
      </c>
      <c r="N26" s="132">
        <f t="shared" si="2"/>
        <v>0.9570198999264542</v>
      </c>
      <c r="O26" s="132">
        <f t="shared" si="2"/>
        <v>0</v>
      </c>
      <c r="AB26" s="163" t="s">
        <v>1098</v>
      </c>
      <c r="AO26" t="str">
        <f>DATOS!J25</f>
        <v>GESTIÓN FINANCIERA</v>
      </c>
    </row>
    <row r="27" spans="1:41" ht="28.5" x14ac:dyDescent="0.25">
      <c r="F27" t="s">
        <v>1078</v>
      </c>
      <c r="G27" s="152">
        <f>AVERAGE(G23:G26)</f>
        <v>0.89391526916293018</v>
      </c>
      <c r="AB27" s="189" t="s">
        <v>1142</v>
      </c>
      <c r="AO27" t="str">
        <f>DATOS!J26</f>
        <v>GESTIÓN JURÍDICA DISTRITAL</v>
      </c>
    </row>
    <row r="28" spans="1:41" x14ac:dyDescent="0.25">
      <c r="I28" s="149" t="s">
        <v>1079</v>
      </c>
      <c r="AB28" s="189" t="s">
        <v>494</v>
      </c>
      <c r="AO28" t="str">
        <f>DATOS!J29</f>
        <v>GESTIÓN DE TIC</v>
      </c>
    </row>
    <row r="29" spans="1:41" x14ac:dyDescent="0.25">
      <c r="K29" s="134">
        <v>2020</v>
      </c>
      <c r="L29" s="134">
        <v>2021</v>
      </c>
      <c r="M29" s="134">
        <v>2022</v>
      </c>
      <c r="N29" s="134">
        <v>2023</v>
      </c>
      <c r="O29" s="134">
        <v>2024</v>
      </c>
      <c r="AB29" s="189" t="s">
        <v>503</v>
      </c>
      <c r="AO29" t="str">
        <f>DATOS!J30</f>
        <v>GESTIÓN DE TIC</v>
      </c>
    </row>
    <row r="30" spans="1:41" ht="28.5" x14ac:dyDescent="0.25">
      <c r="I30" s="133"/>
      <c r="J30" s="135" t="s">
        <v>1073</v>
      </c>
      <c r="K30" s="136">
        <v>0.12</v>
      </c>
      <c r="L30" s="136">
        <v>0.26</v>
      </c>
      <c r="M30" s="136">
        <v>0.26</v>
      </c>
      <c r="N30" s="136">
        <v>0.26</v>
      </c>
      <c r="O30" s="136">
        <v>0.1</v>
      </c>
      <c r="P30" s="140" t="s">
        <v>1075</v>
      </c>
      <c r="AB30" s="163" t="s">
        <v>524</v>
      </c>
      <c r="AO30" t="str">
        <f>DATOS!J31</f>
        <v>GESTIÓN DE TIC</v>
      </c>
    </row>
    <row r="31" spans="1:41" ht="28.5" x14ac:dyDescent="0.25">
      <c r="I31" s="137" t="s">
        <v>1080</v>
      </c>
      <c r="J31" s="138" t="s">
        <v>443</v>
      </c>
      <c r="K31" s="132">
        <f>K25*K30</f>
        <v>0.13500000000000001</v>
      </c>
      <c r="L31" s="132">
        <f t="shared" ref="L31:O31" si="3">L25*L30</f>
        <v>0.27139486122189915</v>
      </c>
      <c r="M31" s="132">
        <f t="shared" si="3"/>
        <v>0.25831515151515155</v>
      </c>
      <c r="N31" s="132">
        <f t="shared" si="3"/>
        <v>0.2432594263126254</v>
      </c>
      <c r="O31" s="132">
        <f t="shared" si="3"/>
        <v>0</v>
      </c>
      <c r="P31" s="139">
        <f>SUM(K31:O31)</f>
        <v>0.90796943904967609</v>
      </c>
      <c r="AB31" s="163" t="s">
        <v>1143</v>
      </c>
      <c r="AO31" t="str">
        <f>DATOS!J91</f>
        <v>GESTIÓN DE TIC</v>
      </c>
    </row>
    <row r="32" spans="1:41" ht="42.75" x14ac:dyDescent="0.25">
      <c r="I32" s="137" t="s">
        <v>1080</v>
      </c>
      <c r="J32" s="138" t="s">
        <v>177</v>
      </c>
      <c r="K32" s="132">
        <f>K26*K30</f>
        <v>0.13010709588570357</v>
      </c>
      <c r="L32" s="132">
        <f t="shared" ref="L32:O32" si="4">L26*L30</f>
        <v>0.27480064915799091</v>
      </c>
      <c r="M32" s="132">
        <f t="shared" si="4"/>
        <v>0.25564500000000001</v>
      </c>
      <c r="N32" s="132">
        <f t="shared" si="4"/>
        <v>0.24882517398087811</v>
      </c>
      <c r="O32" s="132">
        <f t="shared" si="4"/>
        <v>0</v>
      </c>
      <c r="P32" s="139">
        <f>SUM(K32:O32)</f>
        <v>0.90937791902457266</v>
      </c>
      <c r="AB32" s="189" t="s">
        <v>546</v>
      </c>
      <c r="AO32" t="str">
        <f>DATOS!J32</f>
        <v>Gestión Jurídica y Extrajudicial del DC</v>
      </c>
    </row>
    <row r="33" spans="1:41" ht="28.5" x14ac:dyDescent="0.25">
      <c r="B33" s="150"/>
      <c r="E33" s="150"/>
      <c r="AB33" s="189" t="s">
        <v>1144</v>
      </c>
      <c r="AO33" t="str">
        <f>DATOS!J33</f>
        <v>Gestión Jurídica y Extrajudicial del DC</v>
      </c>
    </row>
    <row r="34" spans="1:41" x14ac:dyDescent="0.25">
      <c r="AB34" s="163" t="s">
        <v>564</v>
      </c>
      <c r="AO34" t="str">
        <f>DATOS!J34</f>
        <v>GESTIÓN NORMATIVA Y CONCEPTUAL</v>
      </c>
    </row>
    <row r="35" spans="1:41" ht="28.5" x14ac:dyDescent="0.25">
      <c r="AB35" s="163" t="s">
        <v>575</v>
      </c>
      <c r="AO35" t="str">
        <f>DATOS!J35</f>
        <v>PLANEACIÓN Y MEJORA CONTINUA</v>
      </c>
    </row>
    <row r="36" spans="1:41" ht="28.5" x14ac:dyDescent="0.25">
      <c r="AB36" s="189" t="s">
        <v>582</v>
      </c>
      <c r="AO36" t="str">
        <f>DATOS!J36</f>
        <v>PLANEACIÓN Y MEJORA CONTINUA</v>
      </c>
    </row>
    <row r="37" spans="1:41" x14ac:dyDescent="0.25">
      <c r="A37" s="158">
        <f>AVERAGE('AGOSTO 2023'!$AD$72,'AGOSTO 2023'!$AD$74,'AGOSTO 2023'!$AD$76,'AGOSTO 2023'!$AD$78,'AGOSTO 2023'!$AD$80,'AGOSTO 2023'!$AD$82)</f>
        <v>0.4281481174763615</v>
      </c>
      <c r="B37" t="s">
        <v>1081</v>
      </c>
      <c r="AB37" s="189" t="s">
        <v>1145</v>
      </c>
      <c r="AO37" t="str">
        <f>DATOS!J37</f>
        <v>PLANEACIÓN Y MEJORA CONTINUA</v>
      </c>
    </row>
    <row r="38" spans="1:41" ht="28.5" x14ac:dyDescent="0.25">
      <c r="A38" s="158">
        <f>AVERAGE('AGOSTO 2023'!AD86,'AGOSTO 2023'!AD88,'AGOSTO 2023'!AD90,'AGOSTO 2023'!AD92,'AGOSTO 2023'!AD94)</f>
        <v>0.69485529571427285</v>
      </c>
      <c r="B38" t="s">
        <v>1082</v>
      </c>
      <c r="J38" t="s">
        <v>1083</v>
      </c>
      <c r="AB38" s="189" t="s">
        <v>1111</v>
      </c>
      <c r="AO38" t="str">
        <f>DATOS!J38</f>
        <v>PLANEACIÓN Y MEJORA CONTINUA</v>
      </c>
    </row>
    <row r="39" spans="1:41" ht="31.5" x14ac:dyDescent="0.25">
      <c r="A39" s="158">
        <f>AVERAGE('AGOSTO 2023'!AD99,'AGOSTO 2023'!AD101,'AGOSTO 2023'!AD103,'AGOSTO 2023'!AD105)</f>
        <v>0.45529372165532878</v>
      </c>
      <c r="B39" t="s">
        <v>1084</v>
      </c>
      <c r="L39" s="159"/>
      <c r="M39" s="594" t="s">
        <v>1085</v>
      </c>
      <c r="N39" s="594"/>
      <c r="O39" s="594"/>
      <c r="P39" s="594"/>
      <c r="Q39" s="594"/>
      <c r="R39" s="594"/>
      <c r="S39" s="594"/>
      <c r="T39" s="594"/>
      <c r="U39" s="594"/>
      <c r="V39" s="594"/>
      <c r="AB39" s="189" t="s">
        <v>1141</v>
      </c>
      <c r="AO39" t="str">
        <f>DATOS!J39</f>
        <v>EVALUACIÓN INDEPENDIENTE</v>
      </c>
    </row>
    <row r="40" spans="1:41" ht="30" x14ac:dyDescent="0.25">
      <c r="A40" s="158">
        <f>AVERAGE('AGOSTO 2023'!AD109,'AGOSTO 2023'!AD111)</f>
        <v>0.45531018518518518</v>
      </c>
      <c r="B40" t="s">
        <v>1086</v>
      </c>
      <c r="J40">
        <v>10</v>
      </c>
      <c r="K40" s="158">
        <v>0.1</v>
      </c>
      <c r="M40" s="160" t="s">
        <v>1087</v>
      </c>
      <c r="N40" s="130">
        <f>P32</f>
        <v>0.90937791902457266</v>
      </c>
      <c r="P40" s="126" t="s">
        <v>1088</v>
      </c>
      <c r="Q40" s="132">
        <f>N40-Q41/2</f>
        <v>0.89437791902457264</v>
      </c>
      <c r="S40" s="120" t="s">
        <v>448</v>
      </c>
      <c r="T40" s="132">
        <f>P31</f>
        <v>0.90796943904967609</v>
      </c>
      <c r="V40" s="126" t="s">
        <v>1088</v>
      </c>
      <c r="W40" s="132">
        <f>T40-W41/2</f>
        <v>0.89296943904967607</v>
      </c>
      <c r="AB40" s="189" t="s">
        <v>1123</v>
      </c>
      <c r="AO40" t="str">
        <f>DATOS!J41</f>
        <v>CONTROL INTERNO DISCIPLINARIO</v>
      </c>
    </row>
    <row r="41" spans="1:41" ht="28.5" x14ac:dyDescent="0.25">
      <c r="J41">
        <v>20</v>
      </c>
      <c r="K41" s="158">
        <v>0.1</v>
      </c>
      <c r="P41" s="126" t="s">
        <v>1089</v>
      </c>
      <c r="Q41" s="132">
        <v>0.03</v>
      </c>
      <c r="V41" s="126" t="s">
        <v>1089</v>
      </c>
      <c r="W41" s="132">
        <v>0.03</v>
      </c>
      <c r="AB41" s="189" t="s">
        <v>619</v>
      </c>
      <c r="AO41" t="str">
        <f>DATOS!J43</f>
        <v>INSPECCIÓN VIGILANCIA Y CONTROL ESAL</v>
      </c>
    </row>
    <row r="42" spans="1:41" ht="28.5" x14ac:dyDescent="0.25">
      <c r="J42">
        <v>30</v>
      </c>
      <c r="K42" s="158">
        <v>0.1</v>
      </c>
      <c r="P42" s="126" t="s">
        <v>1090</v>
      </c>
      <c r="Q42" s="132">
        <f>SUM($K$40:$K$50)-Q40-Q41</f>
        <v>1.0756220809754273</v>
      </c>
      <c r="V42" s="126" t="s">
        <v>1090</v>
      </c>
      <c r="W42" s="132">
        <f>SUM(K40:K50)-W40-W41</f>
        <v>1.0770305609503239</v>
      </c>
      <c r="AB42" s="189" t="s">
        <v>632</v>
      </c>
      <c r="AO42" t="str">
        <f>DATOS!J44</f>
        <v>INSPECCIÓN VIGILANCIA Y CONTROL ESAL</v>
      </c>
    </row>
    <row r="43" spans="1:41" ht="71.25" x14ac:dyDescent="0.25">
      <c r="J43">
        <v>40</v>
      </c>
      <c r="K43" s="158">
        <v>0.1</v>
      </c>
      <c r="AB43" s="189" t="s">
        <v>643</v>
      </c>
      <c r="AO43" t="str">
        <f>DATOS!J45</f>
        <v>INSPECCIÓN VIGILANCIA Y CONTROL ESAL</v>
      </c>
    </row>
    <row r="44" spans="1:41" ht="28.5" x14ac:dyDescent="0.25">
      <c r="J44">
        <v>50</v>
      </c>
      <c r="K44" s="158">
        <v>0.1</v>
      </c>
      <c r="AB44" s="163" t="s">
        <v>1148</v>
      </c>
      <c r="AO44" t="str">
        <f>DATOS!J87</f>
        <v>GESTIÓN JURÍDICA DISTRITAL</v>
      </c>
    </row>
    <row r="45" spans="1:41" ht="28.5" x14ac:dyDescent="0.25">
      <c r="J45">
        <v>60</v>
      </c>
      <c r="K45" s="158">
        <v>0.1</v>
      </c>
      <c r="AB45" s="163" t="s">
        <v>665</v>
      </c>
      <c r="AO45" t="str">
        <f>DATOS!J47</f>
        <v>GESTIÓN JURÍDICA DISTRITAL</v>
      </c>
    </row>
    <row r="46" spans="1:41" ht="28.5" x14ac:dyDescent="0.25">
      <c r="J46">
        <v>70</v>
      </c>
      <c r="K46" s="158">
        <v>0.1</v>
      </c>
      <c r="AB46" s="163" t="s">
        <v>672</v>
      </c>
      <c r="AO46" t="str">
        <f>DATOS!J48</f>
        <v>GESTIÓN JURÍDICA DISTRITAL</v>
      </c>
    </row>
    <row r="47" spans="1:41" ht="42.75" x14ac:dyDescent="0.25">
      <c r="J47">
        <v>80</v>
      </c>
      <c r="K47" s="158">
        <v>0.1</v>
      </c>
      <c r="AB47" s="163" t="s">
        <v>1146</v>
      </c>
      <c r="AO47" t="str">
        <f>DATOS!J88</f>
        <v>GESTIÓN JURÍDICA DISTRITAL</v>
      </c>
    </row>
    <row r="48" spans="1:41" ht="28.5" x14ac:dyDescent="0.25">
      <c r="J48">
        <v>90</v>
      </c>
      <c r="K48" s="158">
        <v>0.1</v>
      </c>
      <c r="AB48" s="163" t="s">
        <v>689</v>
      </c>
      <c r="AO48" t="str">
        <f>DATOS!J50</f>
        <v>GESTIÓN JURÍDICA DISTRITAL</v>
      </c>
    </row>
    <row r="49" spans="10:41" ht="28.5" x14ac:dyDescent="0.25">
      <c r="J49">
        <v>100</v>
      </c>
      <c r="K49" s="158">
        <v>0.1</v>
      </c>
      <c r="AB49" s="163" t="s">
        <v>1157</v>
      </c>
      <c r="AO49" t="str">
        <f>DATOS!J89</f>
        <v>ATENCIÓN A LA CIUDADANÍA</v>
      </c>
    </row>
    <row r="50" spans="10:41" ht="28.5" x14ac:dyDescent="0.25">
      <c r="J50" t="s">
        <v>1075</v>
      </c>
      <c r="K50" s="158">
        <v>1</v>
      </c>
      <c r="AB50" s="163" t="s">
        <v>719</v>
      </c>
      <c r="AO50" t="str">
        <f>DATOS!J52</f>
        <v>GESTIÓN FINANCIERA</v>
      </c>
    </row>
    <row r="51" spans="10:41" ht="28.5" x14ac:dyDescent="0.25">
      <c r="AB51" s="163" t="s">
        <v>732</v>
      </c>
      <c r="AO51" t="str">
        <f>DATOS!J53</f>
        <v>GESTIÓN FINANCIERA</v>
      </c>
    </row>
    <row r="52" spans="10:41" x14ac:dyDescent="0.25">
      <c r="AB52" s="163" t="s">
        <v>742</v>
      </c>
      <c r="AO52" t="str">
        <f>DATOS!J54</f>
        <v>NOTIFICACIONES</v>
      </c>
    </row>
    <row r="53" spans="10:41" ht="28.5" x14ac:dyDescent="0.25">
      <c r="AB53" s="163" t="s">
        <v>753</v>
      </c>
      <c r="AO53" t="str">
        <f>DATOS!J55</f>
        <v>GESTIÓN DOCUMENTAL</v>
      </c>
    </row>
    <row r="54" spans="10:41" ht="28.5" x14ac:dyDescent="0.25">
      <c r="AB54" s="163" t="s">
        <v>764</v>
      </c>
      <c r="AO54" t="str">
        <f>DATOS!J56</f>
        <v>GESTIÓN DEL TALENTO HUMANO</v>
      </c>
    </row>
    <row r="55" spans="10:41" ht="28.5" x14ac:dyDescent="0.25">
      <c r="AB55" s="163" t="s">
        <v>775</v>
      </c>
      <c r="AO55" t="str">
        <f>DATOS!J57</f>
        <v>GESTIÓN DEL TALENTO HUMANO</v>
      </c>
    </row>
    <row r="56" spans="10:41" ht="28.5" x14ac:dyDescent="0.25">
      <c r="L56" s="595" t="s">
        <v>1091</v>
      </c>
      <c r="M56" s="595"/>
      <c r="N56" s="595"/>
      <c r="O56" s="595"/>
      <c r="P56" s="595"/>
      <c r="Q56" s="595"/>
      <c r="R56" s="595"/>
      <c r="S56" s="595"/>
      <c r="T56" s="595"/>
      <c r="U56" s="595"/>
      <c r="AB56" s="163" t="s">
        <v>786</v>
      </c>
      <c r="AO56" t="str">
        <f>DATOS!J58</f>
        <v>GESTIÓN DEL TALENTO HUMANO</v>
      </c>
    </row>
    <row r="57" spans="10:41" ht="30" x14ac:dyDescent="0.25">
      <c r="L57" s="160" t="s">
        <v>1087</v>
      </c>
      <c r="M57" s="130">
        <f>$N$26</f>
        <v>0.9570198999264542</v>
      </c>
      <c r="O57" s="126" t="s">
        <v>1088</v>
      </c>
      <c r="P57" s="132">
        <f>M57-P58/2</f>
        <v>0.94201989992645419</v>
      </c>
      <c r="S57" s="120" t="s">
        <v>448</v>
      </c>
      <c r="T57" s="132">
        <f>$N$25</f>
        <v>0.93561317812548228</v>
      </c>
      <c r="V57" s="126" t="s">
        <v>1088</v>
      </c>
      <c r="W57" s="132">
        <f>T57-W58/2</f>
        <v>0.92061317812548227</v>
      </c>
      <c r="AB57" s="163" t="s">
        <v>1169</v>
      </c>
      <c r="AO57" t="str">
        <f>DATOS!J59</f>
        <v>GESTIÓN DEL TALENTO HUMANO</v>
      </c>
    </row>
    <row r="58" spans="10:41" ht="28.5" x14ac:dyDescent="0.25">
      <c r="O58" s="126" t="s">
        <v>1089</v>
      </c>
      <c r="P58" s="132">
        <v>0.03</v>
      </c>
      <c r="V58" s="126" t="s">
        <v>1089</v>
      </c>
      <c r="W58" s="132">
        <v>0.03</v>
      </c>
      <c r="AB58" s="163" t="s">
        <v>800</v>
      </c>
      <c r="AO58" t="str">
        <f>DATOS!J60</f>
        <v>GESTIÓN CONTRACTUAL</v>
      </c>
    </row>
    <row r="59" spans="10:41" ht="28.5" x14ac:dyDescent="0.25">
      <c r="O59" s="126" t="s">
        <v>1090</v>
      </c>
      <c r="P59" s="132">
        <f>SUM($K$40:$K$50)-P57-P58</f>
        <v>1.0279801000735458</v>
      </c>
      <c r="V59" s="126" t="s">
        <v>1090</v>
      </c>
      <c r="W59" s="132">
        <f>SUM($K$40:$K$50)-W57-W58</f>
        <v>1.0493868218745177</v>
      </c>
      <c r="AB59" s="163" t="s">
        <v>1158</v>
      </c>
      <c r="AO59" t="str">
        <f>DATOS!J61</f>
        <v>GESTIÓN CONTRACTUAL</v>
      </c>
    </row>
    <row r="60" spans="10:41" x14ac:dyDescent="0.25">
      <c r="AB60" s="163" t="s">
        <v>813</v>
      </c>
      <c r="AO60" t="str">
        <f>DATOS!J86</f>
        <v>GESTIÓN ADMINISTRATIVA</v>
      </c>
    </row>
    <row r="61" spans="10:41" ht="28.5" x14ac:dyDescent="0.25">
      <c r="AB61" s="163" t="s">
        <v>835</v>
      </c>
      <c r="AO61" t="str">
        <f>DATOS!J63</f>
        <v>GESTIÓN ADMINISTRATIVA</v>
      </c>
    </row>
    <row r="62" spans="10:41" ht="42.75" x14ac:dyDescent="0.25">
      <c r="AB62" s="189" t="s">
        <v>845</v>
      </c>
      <c r="AO62" t="str">
        <f>DATOS!J64</f>
        <v>GESTIÓN DE TIC</v>
      </c>
    </row>
    <row r="63" spans="10:41" ht="28.5" x14ac:dyDescent="0.25">
      <c r="AB63" s="189" t="s">
        <v>856</v>
      </c>
      <c r="AO63" t="str">
        <f>DATOS!J65</f>
        <v>GESTIÓN DE TIC</v>
      </c>
    </row>
    <row r="64" spans="10:41" ht="28.5" x14ac:dyDescent="0.25">
      <c r="AB64" s="189" t="s">
        <v>868</v>
      </c>
      <c r="AO64" t="str">
        <f>DATOS!J66</f>
        <v>PLANEACIÓN Y MEJORA CONTINUA</v>
      </c>
    </row>
    <row r="65" spans="1:41" ht="28.5" x14ac:dyDescent="0.25">
      <c r="AB65" s="163" t="s">
        <v>882</v>
      </c>
      <c r="AO65" t="str">
        <f>DATOS!J67</f>
        <v>PLANEACIÓN Y MEJORA CONTINUA</v>
      </c>
    </row>
    <row r="66" spans="1:41" x14ac:dyDescent="0.25">
      <c r="AO66" t="str">
        <f>DATOS!J68</f>
        <v>GESTIÓN JURÍDICA DISTRITAL</v>
      </c>
    </row>
    <row r="67" spans="1:41" x14ac:dyDescent="0.25">
      <c r="AO67" t="str">
        <f>DATOS!J69</f>
        <v>GESTIÓN DOCUMENTAL</v>
      </c>
    </row>
    <row r="68" spans="1:41" x14ac:dyDescent="0.25">
      <c r="AO68" t="str">
        <f>DATOS!J70</f>
        <v>CONTROL INTERNO DISCIPLINARIO</v>
      </c>
    </row>
    <row r="69" spans="1:41" x14ac:dyDescent="0.25">
      <c r="AO69" t="str">
        <f>DATOS!J71</f>
        <v>CONTROL INTERNO DISCIPLINARIO</v>
      </c>
    </row>
    <row r="70" spans="1:41" x14ac:dyDescent="0.25">
      <c r="AO70" t="str">
        <f>DATOS!J72</f>
        <v>CONTROL INTERNO DISCIPLINARIO</v>
      </c>
    </row>
    <row r="71" spans="1:41" x14ac:dyDescent="0.25">
      <c r="AO71" t="str">
        <f>DATOS!J73</f>
        <v>CONTROL INTERNO DISCIPLINARIO</v>
      </c>
    </row>
    <row r="72" spans="1:41" x14ac:dyDescent="0.25">
      <c r="AO72" t="str">
        <f>DATOS!J74</f>
        <v>GESTIÓN JURÍDICA DISTRITAL</v>
      </c>
    </row>
    <row r="73" spans="1:41" ht="72" x14ac:dyDescent="0.25">
      <c r="A73" s="142" t="s">
        <v>5</v>
      </c>
      <c r="B73" s="6"/>
      <c r="C73" s="142"/>
      <c r="D73" s="7" t="s">
        <v>27</v>
      </c>
      <c r="E73" s="142"/>
      <c r="F73" s="7" t="s">
        <v>28</v>
      </c>
      <c r="AO73" t="str">
        <f>DATOS!J75</f>
        <v>GESTIÓN JURÍDICA DISTRITAL</v>
      </c>
    </row>
    <row r="74" spans="1:41" ht="17.25" thickBot="1" x14ac:dyDescent="0.3">
      <c r="A74" s="3"/>
      <c r="B74" s="4"/>
      <c r="C74" s="4"/>
      <c r="D74" s="5"/>
      <c r="E74" s="4"/>
      <c r="F74" s="5"/>
      <c r="AO74" t="str">
        <f>DATOS!J76</f>
        <v>GESTIÓN JURÍDICA DISTRITAL</v>
      </c>
    </row>
    <row r="75" spans="1:41" ht="17.25" thickBot="1" x14ac:dyDescent="0.3">
      <c r="A75" s="267"/>
      <c r="B75" s="268"/>
      <c r="C75" s="268"/>
      <c r="D75" s="269"/>
      <c r="E75" s="268"/>
      <c r="F75" s="269"/>
      <c r="AO75" t="str">
        <f>DATOS!J77</f>
        <v>Gestión Jurídica y Extrajudicial del DC</v>
      </c>
    </row>
    <row r="76" spans="1:41" ht="21" thickBot="1" x14ac:dyDescent="0.35">
      <c r="A76" s="271" t="s">
        <v>32</v>
      </c>
      <c r="B76" s="272"/>
      <c r="C76" s="272"/>
      <c r="D76" s="264">
        <f>_xlfn.IFS('AGOSTO 2023'!$AA$65='FORMULAS%'!AN$3,(IFERROR(AVERAGEIF(DATOS!J:J,'AGOSTO 2023'!Y72,DATOS!DE:DE),0)), 'AGOSTO 2023'!$AA$65='FORMULAS%'!AN$4,(IFERROR(AVERAGEIF(DATOS!J:J,'AGOSTO 2023'!Y72,DATOS!DF:DF),0)), 'AGOSTO 2023'!$AA$65='FORMULAS%'!AN$5,(IFERROR(AVERAGEIF(DATOS!J:J,'AGOSTO 2023'!Y72,DATOS!DG:DG),0)), 'AGOSTO 2023'!$AA$65='FORMULAS%'!AN$6,(IFERROR(AVERAGEIF(DATOS!J:J,'AGOSTO 2023'!Y72,DATOS!DH:DH),0)), 'AGOSTO 2023'!$AA$65='FORMULAS%'!AN$7,(IFERROR(AVERAGEIF(DATOS!J:J,'AGOSTO 2023'!Y72,DATOS!DI:DI),0)), 'AGOSTO 2023'!$AA$65='FORMULAS%'!AN$8,(IFERROR(AVERAGEIF(DATOS!J:J,'AGOSTO 2023'!Y72,DATOS!DJ:DJ),0)), 'AGOSTO 2023'!$AA$65='FORMULAS%'!AN$9,(IFERROR(AVERAGEIF(DATOS!J:J,'AGOSTO 2023'!Y72,DATOS!DK:DK),0)), 'AGOSTO 2023'!$AA$65='FORMULAS%'!AN$10,(IFERROR(AVERAGEIF(DATOS!J:J,'AGOSTO 2023'!Y72,DATOS!DL:DL),0)), 'AGOSTO 2023'!$AA$65='FORMULAS%'!AN$11,(IFERROR(AVERAGEIF(DATOS!J:J,'AGOSTO 2023'!Y72,DATOS!DM:DM),0)), 'AGOSTO 2023'!$AA$65='FORMULAS%'!AN$12,(IFERROR(AVERAGEIF(DATOS!J:J,'AGOSTO 2023'!Y72,DATOS!DN:DN),0)), 'AGOSTO 2023'!$AA$65='FORMULAS%'!AN$13,(IFERROR(AVERAGEIF(DATOS!J:J,'AGOSTO 2023'!Y72,DATOS!DO:DO),0)), 'AGOSTO 2023'!$AA$65='FORMULAS%'!AN$14,(IFERROR(AVERAGEIF(DATOS!J:J,'AGOSTO 2023'!Y72,DATOS!DP:DP),0)))</f>
        <v>1</v>
      </c>
      <c r="E76" s="272"/>
      <c r="F76" s="265"/>
      <c r="H76" s="158"/>
      <c r="AO76" t="str">
        <f>DATOS!J78</f>
        <v>GESTIÓN JURÍDICA DISTRITAL</v>
      </c>
    </row>
    <row r="77" spans="1:41" ht="21" thickBot="1" x14ac:dyDescent="0.35">
      <c r="A77" s="271"/>
      <c r="B77" s="272"/>
      <c r="C77" s="272"/>
      <c r="D77" s="274"/>
      <c r="E77" s="272"/>
      <c r="F77" s="274"/>
      <c r="H77" s="158"/>
      <c r="AO77" t="str">
        <f>DATOS!J79</f>
        <v>INSPECCIÓN VIGILANCIA Y CONTROL ESAL</v>
      </c>
    </row>
    <row r="78" spans="1:41" ht="21" thickBot="1" x14ac:dyDescent="0.35">
      <c r="A78" s="271" t="s">
        <v>56</v>
      </c>
      <c r="B78" s="272"/>
      <c r="C78" s="272"/>
      <c r="D78" s="264">
        <f>_xlfn.IFS('AGOSTO 2023'!$AA$65='FORMULAS%'!AN$3,(IFERROR(AVERAGEIF(DATOS!J:J,'AGOSTO 2023'!Y74,DATOS!DE:DE),0)), 'AGOSTO 2023'!$AA$65='FORMULAS%'!AN$4,(IFERROR(AVERAGEIF(DATOS!J:J,'AGOSTO 2023'!Y74,DATOS!DF:DF),0)), 'AGOSTO 2023'!$AA$65='FORMULAS%'!AN$5,(IFERROR(AVERAGEIF(DATOS!J:J,'AGOSTO 2023'!Y74,DATOS!DG:DG),0)), 'AGOSTO 2023'!$AA$65='FORMULAS%'!AN$6,(IFERROR(AVERAGEIF(DATOS!J:J,'AGOSTO 2023'!Y74,DATOS!DH:DH),0)), 'AGOSTO 2023'!$AA$65='FORMULAS%'!AN$7,(IFERROR(AVERAGEIF(DATOS!J:J,'AGOSTO 2023'!Y74,DATOS!DI:DI),0)), 'AGOSTO 2023'!$AA$65='FORMULAS%'!AN$8,(IFERROR(AVERAGEIF(DATOS!J:J,'AGOSTO 2023'!Y74,DATOS!DJ:DJ),0)), 'AGOSTO 2023'!$AA$65='FORMULAS%'!AN$9,(IFERROR(AVERAGEIF(DATOS!J:J,'AGOSTO 2023'!Y74,DATOS!DK:DK),0)), 'AGOSTO 2023'!$AA$65='FORMULAS%'!AN$10,(IFERROR(AVERAGEIF(DATOS!J:J,'AGOSTO 2023'!Y74,DATOS!DL:DL),0)), 'AGOSTO 2023'!$AA$65='FORMULAS%'!AN$11,(IFERROR(AVERAGEIF(DATOS!J:J,'AGOSTO 2023'!Y74,DATOS!DM:DM),0)), 'AGOSTO 2023'!$AA$65='FORMULAS%'!AN$12,(IFERROR(AVERAGEIF(DATOS!J:J,'AGOSTO 2023'!Y74,DATOS!DN:DN),0)), 'AGOSTO 2023'!$AA$65='FORMULAS%'!AN$13,(IFERROR(AVERAGEIF(DATOS!J:J,'AGOSTO 2023'!Y74,DATOS!DO:DO),0)), 'AGOSTO 2023'!$AA$65='FORMULAS%'!AN$14,(IFERROR(AVERAGEIF(DATOS!J:J,'AGOSTO 2023'!Y74,DATOS!DP:DP),0)))</f>
        <v>1.0369370521541947</v>
      </c>
      <c r="E78" s="272"/>
      <c r="F78" s="265"/>
      <c r="H78" s="158"/>
      <c r="AO78" t="str">
        <f>DATOS!J80</f>
        <v>GESTIÓN JURÍDICA DISTRITAL</v>
      </c>
    </row>
    <row r="79" spans="1:41" ht="21" thickBot="1" x14ac:dyDescent="0.35">
      <c r="A79" s="271"/>
      <c r="B79" s="272"/>
      <c r="C79" s="272"/>
      <c r="D79" s="274"/>
      <c r="E79" s="272"/>
      <c r="F79" s="274"/>
      <c r="H79" s="158"/>
      <c r="AO79" t="str">
        <f>DATOS!J81</f>
        <v>GESTIÓN DOCUMENTAL</v>
      </c>
    </row>
    <row r="80" spans="1:41" ht="21" thickBot="1" x14ac:dyDescent="0.35">
      <c r="A80" s="271" t="s">
        <v>57</v>
      </c>
      <c r="B80" s="272"/>
      <c r="C80" s="272"/>
      <c r="D80" s="264">
        <f>_xlfn.IFS('AGOSTO 2023'!$AA$65='FORMULAS%'!AN$3,(IFERROR(AVERAGEIF(DATOS!J:J,'AGOSTO 2023'!Y76,DATOS!DE:DE),0)), 'AGOSTO 2023'!$AA$65='FORMULAS%'!AN$4,(IFERROR(AVERAGEIF(DATOS!J:J,'AGOSTO 2023'!Y76,DATOS!DF:DF),0)), 'AGOSTO 2023'!$AA$65='FORMULAS%'!AN$5,(IFERROR(AVERAGEIF(DATOS!J:J,'AGOSTO 2023'!Y76,DATOS!DG:DG),0)), 'AGOSTO 2023'!$AA$65='FORMULAS%'!AN$6,(IFERROR(AVERAGEIF(DATOS!J:J,'AGOSTO 2023'!Y76,DATOS!DH:DH),0)), 'AGOSTO 2023'!$AA$65='FORMULAS%'!AN$7,(IFERROR(AVERAGEIF(DATOS!J:J,'AGOSTO 2023'!Y76,DATOS!DI:DI),0)), 'AGOSTO 2023'!$AA$65='FORMULAS%'!AN$8,(IFERROR(AVERAGEIF(DATOS!J:J,'AGOSTO 2023'!Y76,DATOS!DJ:DJ),0)), 'AGOSTO 2023'!$AA$65='FORMULAS%'!AN$9,(IFERROR(AVERAGEIF(DATOS!J:J,'AGOSTO 2023'!Y76,DATOS!DK:DK),0)), 'AGOSTO 2023'!$AA$65='FORMULAS%'!AN$10,(IFERROR(AVERAGEIF(DATOS!J:J,'AGOSTO 2023'!Y76,DATOS!DL:DL),0)), 'AGOSTO 2023'!$AA$65='FORMULAS%'!AN$11,(IFERROR(AVERAGEIF(DATOS!J:J,'AGOSTO 2023'!Y76,DATOS!DM:DM),0)), 'AGOSTO 2023'!$AA$65='FORMULAS%'!AN$12,(IFERROR(AVERAGEIF(DATOS!J:J,'AGOSTO 2023'!Y76,DATOS!DN:DN),0)), 'AGOSTO 2023'!$AA$65='FORMULAS%'!AN$13,(IFERROR(AVERAGEIF(DATOS!J:J,'AGOSTO 2023'!Y76,DATOS!DO:DO),0)), 'AGOSTO 2023'!$AA$65='FORMULAS%'!AN$14,(IFERROR(AVERAGEIF(DATOS!J:J,'AGOSTO 2023'!Y76,DATOS!DP:DP),0)))</f>
        <v>0.76666666666666661</v>
      </c>
      <c r="E80" s="272"/>
      <c r="F80" s="265"/>
      <c r="H80" s="158"/>
      <c r="AO80" t="str">
        <f>DATOS!J82</f>
        <v>GESTIÓN DEL TALENTO HUMANO</v>
      </c>
    </row>
    <row r="81" spans="1:41" ht="21" thickBot="1" x14ac:dyDescent="0.35">
      <c r="A81" s="271"/>
      <c r="B81" s="272"/>
      <c r="C81" s="272"/>
      <c r="D81" s="274"/>
      <c r="E81" s="272"/>
      <c r="F81" s="274"/>
      <c r="H81" s="158"/>
      <c r="AB81" s="1" t="s">
        <v>377</v>
      </c>
      <c r="AO81" t="str">
        <f>DATOS!J83</f>
        <v>GESTIÓN DEL TALENTO HUMANO</v>
      </c>
    </row>
    <row r="82" spans="1:41" ht="21" thickBot="1" x14ac:dyDescent="0.35">
      <c r="A82" s="271" t="s">
        <v>40</v>
      </c>
      <c r="B82" s="272"/>
      <c r="C82" s="272"/>
      <c r="D82" s="264">
        <f>_xlfn.IFS('AGOSTO 2023'!$AA$65='FORMULAS%'!AN$3,(IFERROR(AVERAGEIF(DATOS!J:J,'AGOSTO 2023'!Y78,DATOS!DE:DE),0)), 'AGOSTO 2023'!$AA$65='FORMULAS%'!AN$4,(IFERROR(AVERAGEIF(DATOS!J:J,'AGOSTO 2023'!Y78,DATOS!DF:DF),0)), 'AGOSTO 2023'!$AA$65='FORMULAS%'!AN$5,(IFERROR(AVERAGEIF(DATOS!J:J,'AGOSTO 2023'!Y78,DATOS!DG:DG),0)), 'AGOSTO 2023'!$AA$65='FORMULAS%'!AN$6,(IFERROR(AVERAGEIF(DATOS!J:J,'AGOSTO 2023'!Y78,DATOS!DH:DH),0)), 'AGOSTO 2023'!$AA$65='FORMULAS%'!AN$7,(IFERROR(AVERAGEIF(DATOS!J:J,'AGOSTO 2023'!Y78,DATOS!DI:DI),0)), 'AGOSTO 2023'!$AA$65='FORMULAS%'!AN$8,(IFERROR(AVERAGEIF(DATOS!J:J,'AGOSTO 2023'!Y78,DATOS!DJ:DJ),0)), 'AGOSTO 2023'!$AA$65='FORMULAS%'!AN$9,(IFERROR(AVERAGEIF(DATOS!J:J,'AGOSTO 2023'!Y78,DATOS!DK:DK),0)), 'AGOSTO 2023'!$AA$65='FORMULAS%'!AN$10,(IFERROR(AVERAGEIF(DATOS!J:J,'AGOSTO 2023'!Y78,DATOS!DL:DL),0)), 'AGOSTO 2023'!$AA$65='FORMULAS%'!AN$11,(IFERROR(AVERAGEIF(DATOS!J:J,'AGOSTO 2023'!Y78,DATOS!DM:DM),0)), 'AGOSTO 2023'!$AA$65='FORMULAS%'!AN$12,(IFERROR(AVERAGEIF(DATOS!J:J,'AGOSTO 2023'!Y78,DATOS!DN:DN),0)), 'AGOSTO 2023'!$AA$65='FORMULAS%'!AN$13,(IFERROR(AVERAGEIF(DATOS!J:J,'AGOSTO 2023'!Y78,DATOS!DO:DO),0)), 'AGOSTO 2023'!$AA$65='FORMULAS%'!AN$14,(IFERROR(AVERAGEIF(DATOS!J:J,'AGOSTO 2023'!Y78,DATOS!DP:DP),0)))</f>
        <v>0.91547727132089951</v>
      </c>
      <c r="E82" s="272"/>
      <c r="F82" s="265"/>
      <c r="H82" s="158"/>
      <c r="AB82" s="1" t="s">
        <v>377</v>
      </c>
      <c r="AO82" t="str">
        <f>DATOS!J84</f>
        <v>GESTIÓN ADMINISTRATIVA</v>
      </c>
    </row>
    <row r="83" spans="1:41" ht="21" thickBot="1" x14ac:dyDescent="0.35">
      <c r="A83" s="271"/>
      <c r="B83" s="272"/>
      <c r="C83" s="272"/>
      <c r="D83" s="274"/>
      <c r="E83" s="272"/>
      <c r="F83" s="274"/>
      <c r="H83" s="158"/>
      <c r="AB83" s="1" t="s">
        <v>377</v>
      </c>
      <c r="AO83" t="e">
        <f>DATOS!#REF!</f>
        <v>#REF!</v>
      </c>
    </row>
    <row r="84" spans="1:41" ht="21" thickBot="1" x14ac:dyDescent="0.35">
      <c r="A84" s="271" t="s">
        <v>41</v>
      </c>
      <c r="B84" s="272"/>
      <c r="C84" s="272"/>
      <c r="D84" s="264">
        <f>_xlfn.IFS('AGOSTO 2023'!$AA$65='FORMULAS%'!AN$3,(IFERROR(AVERAGEIF(DATOS!J:J,'AGOSTO 2023'!Y80,DATOS!DE:DE),0)), 'AGOSTO 2023'!$AA$65='FORMULAS%'!AN$4,(IFERROR(AVERAGEIF(DATOS!J:J,'AGOSTO 2023'!Y80,DATOS!DF:DF),0)), 'AGOSTO 2023'!$AA$65='FORMULAS%'!AN$5,(IFERROR(AVERAGEIF(DATOS!J:J,'AGOSTO 2023'!Y80,DATOS!DG:DG),0)), 'AGOSTO 2023'!$AA$65='FORMULAS%'!AN$6,(IFERROR(AVERAGEIF(DATOS!J:J,'AGOSTO 2023'!Y80,DATOS!DH:DH),0)), 'AGOSTO 2023'!$AA$65='FORMULAS%'!AN$7,(IFERROR(AVERAGEIF(DATOS!J:J,'AGOSTO 2023'!Y80,DATOS!DI:DI),0)), 'AGOSTO 2023'!$AA$65='FORMULAS%'!AN$8,(IFERROR(AVERAGEIF(DATOS!J:J,'AGOSTO 2023'!Y80,DATOS!DJ:DJ),0)), 'AGOSTO 2023'!$AA$65='FORMULAS%'!AN$9,(IFERROR(AVERAGEIF(DATOS!J:J,'AGOSTO 2023'!Y80,DATOS!DK:DK),0)), 'AGOSTO 2023'!$AA$65='FORMULAS%'!AN$10,(IFERROR(AVERAGEIF(DATOS!J:J,'AGOSTO 2023'!Y80,DATOS!DL:DL),0)), 'AGOSTO 2023'!$AA$65='FORMULAS%'!AN$11,(IFERROR(AVERAGEIF(DATOS!J:J,'AGOSTO 2023'!Y80,DATOS!DM:DM),0)), 'AGOSTO 2023'!$AA$65='FORMULAS%'!AN$12,(IFERROR(AVERAGEIF(DATOS!J:J,'AGOSTO 2023'!Y80,DATOS!DN:DN),0)), 'AGOSTO 2023'!$AA$65='FORMULAS%'!AN$13,(IFERROR(AVERAGEIF(DATOS!J:J,'AGOSTO 2023'!Y80,DATOS!DO:DO),0)), 'AGOSTO 2023'!$AA$65='FORMULAS%'!AN$14,(IFERROR(AVERAGEIF(DATOS!J:J,'AGOSTO 2023'!Y80,DATOS!DP:DP),0)))</f>
        <v>1</v>
      </c>
      <c r="E84" s="272"/>
      <c r="F84" s="265"/>
      <c r="H84" s="158"/>
      <c r="AB84" s="1" t="s">
        <v>377</v>
      </c>
      <c r="AO84" t="e">
        <f>DATOS!#REF!</f>
        <v>#REF!</v>
      </c>
    </row>
    <row r="85" spans="1:41" ht="21" thickBot="1" x14ac:dyDescent="0.35">
      <c r="A85" s="271"/>
      <c r="B85" s="272"/>
      <c r="C85" s="272"/>
      <c r="D85" s="274"/>
      <c r="E85" s="272"/>
      <c r="F85" s="274"/>
      <c r="H85" s="158"/>
      <c r="AB85" s="1" t="s">
        <v>377</v>
      </c>
      <c r="AO85" t="e">
        <f>DATOS!#REF!</f>
        <v>#REF!</v>
      </c>
    </row>
    <row r="86" spans="1:41" ht="21" thickBot="1" x14ac:dyDescent="0.35">
      <c r="A86" s="271" t="s">
        <v>59</v>
      </c>
      <c r="B86" s="272"/>
      <c r="C86" s="272"/>
      <c r="D86" s="264">
        <f>_xlfn.IFS('AGOSTO 2023'!$AA$65='FORMULAS%'!AN$3,(IFERROR(AVERAGEIF(DATOS!J:J,'AGOSTO 2023'!Y82,DATOS!DE:DE),0)), 'AGOSTO 2023'!$AA$65='FORMULAS%'!AN$4,(IFERROR(AVERAGEIF(DATOS!J:J,'AGOSTO 2023'!Y82,DATOS!DF:DF),0)), 'AGOSTO 2023'!$AA$65='FORMULAS%'!AN$5,(IFERROR(AVERAGEIF(DATOS!J:J,'AGOSTO 2023'!Y82,DATOS!DG:DG),0)), 'AGOSTO 2023'!$AA$65='FORMULAS%'!AN$6,(IFERROR(AVERAGEIF(DATOS!J:J,'AGOSTO 2023'!Y82,DATOS!DH:DH),0)), 'AGOSTO 2023'!$AA$65='FORMULAS%'!AN$7,(IFERROR(AVERAGEIF(DATOS!J:J,'AGOSTO 2023'!Y82,DATOS!DI:DI),0)), 'AGOSTO 2023'!$AA$65='FORMULAS%'!AN$8,(IFERROR(AVERAGEIF(DATOS!J:J,'AGOSTO 2023'!Y82,DATOS!DJ:DJ),0)), 'AGOSTO 2023'!$AA$65='FORMULAS%'!AN$9,(IFERROR(AVERAGEIF(DATOS!J:J,'AGOSTO 2023'!Y82,DATOS!DK:DK),0)), 'AGOSTO 2023'!$AA$65='FORMULAS%'!AN$10,(IFERROR(AVERAGEIF(DATOS!J:J,'AGOSTO 2023'!Y82,DATOS!DL:DL),0)), 'AGOSTO 2023'!$AA$65='FORMULAS%'!AN$11,(IFERROR(AVERAGEIF(DATOS!J:J,'AGOSTO 2023'!Y82,DATOS!DM:DM),0)), 'AGOSTO 2023'!$AA$65='FORMULAS%'!AN$12,(IFERROR(AVERAGEIF(DATOS!J:J,'AGOSTO 2023'!Y82,DATOS!DN:DN),0)), 'AGOSTO 2023'!$AA$65='FORMULAS%'!AN$13,(IFERROR(AVERAGEIF(DATOS!J:J,'AGOSTO 2023'!Y82,DATOS!DO:DO),0)), 'AGOSTO 2023'!$AA$65='FORMULAS%'!AN$14,(IFERROR(AVERAGEIF(DATOS!J:J,'AGOSTO 2023'!Y82,DATOS!DP:DP),0)))</f>
        <v>0.9719000000000001</v>
      </c>
      <c r="E86" s="272"/>
      <c r="F86" s="265"/>
      <c r="H86" s="158"/>
      <c r="AB86" s="1" t="s">
        <v>377</v>
      </c>
      <c r="AO86" t="e">
        <f>DATOS!#REF!</f>
        <v>#REF!</v>
      </c>
    </row>
    <row r="87" spans="1:41" ht="21" thickBot="1" x14ac:dyDescent="0.35">
      <c r="A87" s="275"/>
      <c r="B87" s="276"/>
      <c r="C87" s="276"/>
      <c r="D87" s="277"/>
      <c r="E87" s="276"/>
      <c r="F87" s="277"/>
      <c r="H87" s="158"/>
      <c r="AB87" s="1" t="s">
        <v>377</v>
      </c>
      <c r="AO87" t="e">
        <f>DATOS!#REF!</f>
        <v>#REF!</v>
      </c>
    </row>
    <row r="88" spans="1:41" ht="21" thickBot="1" x14ac:dyDescent="0.35">
      <c r="A88" s="8"/>
      <c r="B88" s="245"/>
      <c r="C88" s="9"/>
      <c r="D88" s="10"/>
      <c r="E88" s="9"/>
      <c r="F88" s="10"/>
      <c r="H88" s="158"/>
      <c r="AB88" s="1" t="s">
        <v>377</v>
      </c>
      <c r="AO88" t="str">
        <f>DATOS!J90</f>
        <v>GESTIÓN DEL TALENTO HUMANO</v>
      </c>
    </row>
    <row r="89" spans="1:41" ht="21" thickBot="1" x14ac:dyDescent="0.35">
      <c r="A89" s="11"/>
      <c r="B89" s="12"/>
      <c r="C89" s="12"/>
      <c r="D89" s="13"/>
      <c r="E89" s="12"/>
      <c r="F89" s="13"/>
      <c r="H89" s="158"/>
      <c r="AB89" s="1" t="s">
        <v>377</v>
      </c>
      <c r="AO89" t="e">
        <f>DATOS!#REF!</f>
        <v>#REF!</v>
      </c>
    </row>
    <row r="90" spans="1:41" ht="21" thickBot="1" x14ac:dyDescent="0.35">
      <c r="A90" s="15" t="s">
        <v>43</v>
      </c>
      <c r="B90" s="16"/>
      <c r="C90" s="16"/>
      <c r="D90" s="264">
        <f>_xlfn.IFS('AGOSTO 2023'!$AA$65='FORMULAS%'!AN$3,(IFERROR(AVERAGEIF(DATOS!J:J,'AGOSTO 2023'!Y86,DATOS!DE:DE),0)), 'AGOSTO 2023'!$AA$65='FORMULAS%'!AN$4,(IFERROR(AVERAGEIF(DATOS!J:J,'AGOSTO 2023'!Y86,DATOS!DF:DF),0)), 'AGOSTO 2023'!$AA$65='FORMULAS%'!AN$5,(IFERROR(AVERAGEIF(DATOS!J:J,'AGOSTO 2023'!Y86,DATOS!DG:DG),0)), 'AGOSTO 2023'!$AA$65='FORMULAS%'!AN$6,(IFERROR(AVERAGEIF(DATOS!J:J,'AGOSTO 2023'!Y86,DATOS!DH:DH),0)), 'AGOSTO 2023'!$AA$65='FORMULAS%'!AN$7,(IFERROR(AVERAGEIF(DATOS!J:J,'AGOSTO 2023'!Y86,DATOS!DI:DI),0)), 'AGOSTO 2023'!$AA$65='FORMULAS%'!AN$8,(IFERROR(AVERAGEIF(DATOS!J:J,'AGOSTO 2023'!Y86,DATOS!DJ:DJ),0)), 'AGOSTO 2023'!$AA$65='FORMULAS%'!AN$9,(IFERROR(AVERAGEIF(DATOS!J:J,'AGOSTO 2023'!Y86,DATOS!DK:DK),0)), 'AGOSTO 2023'!$AA$65='FORMULAS%'!AN$10,(IFERROR(AVERAGEIF(DATOS!J:J,'AGOSTO 2023'!Y86,DATOS!DL:DL),0)), 'AGOSTO 2023'!$AA$65='FORMULAS%'!AN$11,(IFERROR(AVERAGEIF(DATOS!J:J,'AGOSTO 2023'!Y86,DATOS!DM:DM),0)), 'AGOSTO 2023'!$AA$65='FORMULAS%'!AN$12,(IFERROR(AVERAGEIF(DATOS!J:J,'AGOSTO 2023'!Y86,DATOS!DN:DN),0)), 'AGOSTO 2023'!$AA$65='FORMULAS%'!AN$13,(IFERROR(AVERAGEIF(DATOS!J:J,'AGOSTO 2023'!Y86,DATOS!DO:DO),0)), 'AGOSTO 2023'!$AA$65='FORMULAS%'!AN$14,(IFERROR(AVERAGEIF(DATOS!J:J,'AGOSTO 2023'!Y86,DATOS!DP:DP),0)))</f>
        <v>1.0124624060150376</v>
      </c>
      <c r="E90" s="16"/>
      <c r="F90" s="265"/>
      <c r="H90" s="158"/>
      <c r="AB90" s="1" t="s">
        <v>377</v>
      </c>
      <c r="AO90">
        <f>DATOS!J92</f>
        <v>0</v>
      </c>
    </row>
    <row r="91" spans="1:41" ht="21" thickBot="1" x14ac:dyDescent="0.35">
      <c r="A91" s="15"/>
      <c r="B91" s="16"/>
      <c r="C91" s="16"/>
      <c r="D91" s="18"/>
      <c r="E91" s="16"/>
      <c r="F91" s="18"/>
      <c r="H91" s="158"/>
      <c r="AB91" s="1" t="s">
        <v>377</v>
      </c>
      <c r="AO91">
        <f>DATOS!J93</f>
        <v>0</v>
      </c>
    </row>
    <row r="92" spans="1:41" ht="21" thickBot="1" x14ac:dyDescent="0.35">
      <c r="A92" s="15" t="s">
        <v>44</v>
      </c>
      <c r="B92" s="16"/>
      <c r="C92" s="16"/>
      <c r="D92" s="264">
        <f>_xlfn.IFS('AGOSTO 2023'!$AA$65='FORMULAS%'!AN$3,(IFERROR(AVERAGEIF(DATOS!J:J,'AGOSTO 2023'!Y88,DATOS!DE:DE),0)), 'AGOSTO 2023'!$AA$65='FORMULAS%'!AN$4,(IFERROR(AVERAGEIF(DATOS!J:J,'AGOSTO 2023'!Y88,DATOS!DF:DF),0)), 'AGOSTO 2023'!$AA$65='FORMULAS%'!AN$5,(IFERROR(AVERAGEIF(DATOS!J:J,'AGOSTO 2023'!Y88,DATOS!DG:DG),0)), 'AGOSTO 2023'!$AA$65='FORMULAS%'!AN$6,(IFERROR(AVERAGEIF(DATOS!J:J,'AGOSTO 2023'!Y88,DATOS!DH:DH),0)), 'AGOSTO 2023'!$AA$65='FORMULAS%'!AN$7,(IFERROR(AVERAGEIF(DATOS!J:J,'AGOSTO 2023'!Y88,DATOS!DI:DI),0)), 'AGOSTO 2023'!$AA$65='FORMULAS%'!AN$8,(IFERROR(AVERAGEIF(DATOS!J:J,'AGOSTO 2023'!Y88,DATOS!DJ:DJ),0)), 'AGOSTO 2023'!$AA$65='FORMULAS%'!AN$9,(IFERROR(AVERAGEIF(DATOS!J:J,'AGOSTO 2023'!Y88,DATOS!DK:DK),0)), 'AGOSTO 2023'!$AA$65='FORMULAS%'!AN$10,(IFERROR(AVERAGEIF(DATOS!J:J,'AGOSTO 2023'!Y88,DATOS!DL:DL),0)), 'AGOSTO 2023'!$AA$65='FORMULAS%'!AN$11,(IFERROR(AVERAGEIF(DATOS!J:J,'AGOSTO 2023'!Y88,DATOS!DM:DM),0)), 'AGOSTO 2023'!$AA$65='FORMULAS%'!AN$12,(IFERROR(AVERAGEIF(DATOS!J:J,'AGOSTO 2023'!Y88,DATOS!DN:DN),0)), 'AGOSTO 2023'!$AA$65='FORMULAS%'!AN$13,(IFERROR(AVERAGEIF(DATOS!J:J,'AGOSTO 2023'!Y88,DATOS!DO:DO),0)), 'AGOSTO 2023'!$AA$65='FORMULAS%'!AN$14,(IFERROR(AVERAGEIF(DATOS!J:J,'AGOSTO 2023'!Y88,DATOS!DP:DP),0)))</f>
        <v>0.62191486486486491</v>
      </c>
      <c r="E92" s="16"/>
      <c r="F92" s="265"/>
      <c r="H92" s="158"/>
      <c r="AB92" s="1" t="s">
        <v>377</v>
      </c>
      <c r="AO92">
        <f>DATOS!J94</f>
        <v>0</v>
      </c>
    </row>
    <row r="93" spans="1:41" ht="21" thickBot="1" x14ac:dyDescent="0.35">
      <c r="A93" s="15"/>
      <c r="B93" s="16"/>
      <c r="C93" s="16"/>
      <c r="D93" s="18"/>
      <c r="E93" s="16"/>
      <c r="F93" s="18"/>
      <c r="H93" s="158"/>
      <c r="AB93" s="1" t="s">
        <v>377</v>
      </c>
      <c r="AO93">
        <f>DATOS!J95</f>
        <v>0</v>
      </c>
    </row>
    <row r="94" spans="1:41" ht="21" thickBot="1" x14ac:dyDescent="0.35">
      <c r="A94" s="15" t="s">
        <v>60</v>
      </c>
      <c r="B94" s="16"/>
      <c r="C94" s="16"/>
      <c r="D94" s="264">
        <f>_xlfn.IFS('AGOSTO 2023'!$AA$65='FORMULAS%'!AN$3,(IFERROR(AVERAGEIF(DATOS!J:J,'AGOSTO 2023'!Y90,DATOS!DE:DE),0)), 'AGOSTO 2023'!$AA$65='FORMULAS%'!AN$4,(IFERROR(AVERAGEIF(DATOS!J:J,'AGOSTO 2023'!Y90,DATOS!DF:DF),0)), 'AGOSTO 2023'!$AA$65='FORMULAS%'!AN$5,(IFERROR(AVERAGEIF(DATOS!J:J,'AGOSTO 2023'!Y90,DATOS!DG:DG),0)), 'AGOSTO 2023'!$AA$65='FORMULAS%'!AN$6,(IFERROR(AVERAGEIF(DATOS!J:J,'AGOSTO 2023'!Y90,DATOS!DH:DH),0)), 'AGOSTO 2023'!$AA$65='FORMULAS%'!AN$7,(IFERROR(AVERAGEIF(DATOS!J:J,'AGOSTO 2023'!Y90,DATOS!DI:DI),0)), 'AGOSTO 2023'!$AA$65='FORMULAS%'!AN$8,(IFERROR(AVERAGEIF(DATOS!J:J,'AGOSTO 2023'!Y90,DATOS!DJ:DJ),0)), 'AGOSTO 2023'!$AA$65='FORMULAS%'!AN$9,(IFERROR(AVERAGEIF(DATOS!J:J,'AGOSTO 2023'!Y90,DATOS!DK:DK),0)), 'AGOSTO 2023'!$AA$65='FORMULAS%'!AN$10,(IFERROR(AVERAGEIF(DATOS!J:J,'AGOSTO 2023'!Y90,DATOS!DL:DL),0)), 'AGOSTO 2023'!$AA$65='FORMULAS%'!AN$11,(IFERROR(AVERAGEIF(DATOS!J:J,'AGOSTO 2023'!Y90,DATOS!DM:DM),0)), 'AGOSTO 2023'!$AA$65='FORMULAS%'!AN$12,(IFERROR(AVERAGEIF(DATOS!J:J,'AGOSTO 2023'!Y90,DATOS!DN:DN),0)), 'AGOSTO 2023'!$AA$65='FORMULAS%'!AN$13,(IFERROR(AVERAGEIF(DATOS!J:J,'AGOSTO 2023'!Y90,DATOS!DO:DO),0)), 'AGOSTO 2023'!$AA$65='FORMULAS%'!AN$14,(IFERROR(AVERAGEIF(DATOS!J:J,'AGOSTO 2023'!Y90,DATOS!DP:DP),0)))</f>
        <v>0.85336921464279958</v>
      </c>
      <c r="E94" s="16"/>
      <c r="F94" s="265"/>
      <c r="H94" s="158"/>
      <c r="AB94" s="1" t="s">
        <v>377</v>
      </c>
      <c r="AO94">
        <f>DATOS!J96</f>
        <v>0</v>
      </c>
    </row>
    <row r="95" spans="1:41" ht="21" thickBot="1" x14ac:dyDescent="0.35">
      <c r="A95" s="15"/>
      <c r="B95" s="16"/>
      <c r="C95" s="16"/>
      <c r="D95" s="18"/>
      <c r="E95" s="16"/>
      <c r="F95" s="18"/>
      <c r="H95" s="158"/>
      <c r="AB95" s="1" t="s">
        <v>377</v>
      </c>
      <c r="AO95">
        <f>DATOS!J97</f>
        <v>0</v>
      </c>
    </row>
    <row r="96" spans="1:41" ht="21" thickBot="1" x14ac:dyDescent="0.35">
      <c r="A96" s="15" t="s">
        <v>46</v>
      </c>
      <c r="B96" s="16"/>
      <c r="C96" s="16"/>
      <c r="D96" s="264">
        <f>_xlfn.IFS('AGOSTO 2023'!$AA$65='FORMULAS%'!AN$3,(IFERROR(AVERAGEIF(DATOS!J:J,'AGOSTO 2023'!Y92,DATOS!DE:DE),0)), 'AGOSTO 2023'!$AA$65='FORMULAS%'!AN$4,(IFERROR(AVERAGEIF(DATOS!J:J,'AGOSTO 2023'!Y92,DATOS!DF:DF),0)), 'AGOSTO 2023'!$AA$65='FORMULAS%'!AN$5,(IFERROR(AVERAGEIF(DATOS!J:J,'AGOSTO 2023'!Y92,DATOS!DG:DG),0)), 'AGOSTO 2023'!$AA$65='FORMULAS%'!AN$6,(IFERROR(AVERAGEIF(DATOS!J:J,'AGOSTO 2023'!Y92,DATOS!DH:DH),0)), 'AGOSTO 2023'!$AA$65='FORMULAS%'!AN$7,(IFERROR(AVERAGEIF(DATOS!J:J,'AGOSTO 2023'!Y92,DATOS!DI:DI),0)), 'AGOSTO 2023'!$AA$65='FORMULAS%'!AN$8,(IFERROR(AVERAGEIF(DATOS!J:J,'AGOSTO 2023'!Y92,DATOS!DJ:DJ),0)), 'AGOSTO 2023'!$AA$65='FORMULAS%'!AN$9,(IFERROR(AVERAGEIF(DATOS!J:J,'AGOSTO 2023'!Y92,DATOS!DK:DK),0)), 'AGOSTO 2023'!$AA$65='FORMULAS%'!AN$10,(IFERROR(AVERAGEIF(DATOS!J:J,'AGOSTO 2023'!Y92,DATOS!DL:DL),0)), 'AGOSTO 2023'!$AA$65='FORMULAS%'!AN$11,(IFERROR(AVERAGEIF(DATOS!J:J,'AGOSTO 2023'!Y92,DATOS!DM:DM),0)), 'AGOSTO 2023'!$AA$65='FORMULAS%'!AN$12,(IFERROR(AVERAGEIF(DATOS!J:J,'AGOSTO 2023'!Y92,DATOS!DN:DN),0)), 'AGOSTO 2023'!$AA$65='FORMULAS%'!AN$13,(IFERROR(AVERAGEIF(DATOS!J:J,'AGOSTO 2023'!Y92,DATOS!DO:DO),0)), 'AGOSTO 2023'!$AA$65='FORMULAS%'!AN$14,(IFERROR(AVERAGEIF(DATOS!J:J,'AGOSTO 2023'!Y92,DATOS!DP:DP),0)))</f>
        <v>2.1387647524984144</v>
      </c>
      <c r="E96" s="16"/>
      <c r="F96" s="265"/>
      <c r="H96" s="158"/>
      <c r="AB96" s="1" t="s">
        <v>377</v>
      </c>
      <c r="AO96">
        <f>DATOS!J98</f>
        <v>0</v>
      </c>
    </row>
    <row r="97" spans="1:41" ht="21" thickBot="1" x14ac:dyDescent="0.35">
      <c r="A97" s="15"/>
      <c r="B97" s="16"/>
      <c r="C97" s="16"/>
      <c r="D97" s="18"/>
      <c r="E97" s="16"/>
      <c r="F97" s="18"/>
      <c r="H97" s="158"/>
      <c r="AB97" s="1" t="s">
        <v>377</v>
      </c>
      <c r="AO97">
        <f>DATOS!J99</f>
        <v>0</v>
      </c>
    </row>
    <row r="98" spans="1:41" ht="21" thickBot="1" x14ac:dyDescent="0.35">
      <c r="A98" s="15" t="s">
        <v>47</v>
      </c>
      <c r="B98" s="16"/>
      <c r="C98" s="16"/>
      <c r="D98" s="264">
        <f>_xlfn.IFS('AGOSTO 2023'!$AA$65='FORMULAS%'!AN$3,(IFERROR(AVERAGEIF(DATOS!J:J,'AGOSTO 2023'!Y94,DATOS!DE:DE),0)), 'AGOSTO 2023'!$AA$65='FORMULAS%'!AN$4,(IFERROR(AVERAGEIF(DATOS!J:J,'AGOSTO 2023'!Y94,DATOS!DF:DF),0)), 'AGOSTO 2023'!$AA$65='FORMULAS%'!AN$5,(IFERROR(AVERAGEIF(DATOS!J:J,'AGOSTO 2023'!Y94,DATOS!DG:DG),0)), 'AGOSTO 2023'!$AA$65='FORMULAS%'!AN$6,(IFERROR(AVERAGEIF(DATOS!J:J,'AGOSTO 2023'!Y94,DATOS!DH:DH),0)), 'AGOSTO 2023'!$AA$65='FORMULAS%'!AN$7,(IFERROR(AVERAGEIF(DATOS!J:J,'AGOSTO 2023'!Y94,DATOS!DI:DI),0)), 'AGOSTO 2023'!$AA$65='FORMULAS%'!AN$8,(IFERROR(AVERAGEIF(DATOS!J:J,'AGOSTO 2023'!Y94,DATOS!DJ:DJ),0)), 'AGOSTO 2023'!$AA$65='FORMULAS%'!AN$9,(IFERROR(AVERAGEIF(DATOS!J:J,'AGOSTO 2023'!Y94,DATOS!DK:DK),0)), 'AGOSTO 2023'!$AA$65='FORMULAS%'!AN$10,(IFERROR(AVERAGEIF(DATOS!J:J,'AGOSTO 2023'!Y94,DATOS!DL:DL),0)), 'AGOSTO 2023'!$AA$65='FORMULAS%'!AN$11,(IFERROR(AVERAGEIF(DATOS!J:J,'AGOSTO 2023'!Y94,DATOS!DM:DM),0)), 'AGOSTO 2023'!$AA$65='FORMULAS%'!AN$12,(IFERROR(AVERAGEIF(DATOS!J:J,'AGOSTO 2023'!Y94,DATOS!DN:DN),0)), 'AGOSTO 2023'!$AA$65='FORMULAS%'!AN$13,(IFERROR(AVERAGEIF(DATOS!J:J,'AGOSTO 2023'!Y94,DATOS!DO:DO),0)), 'AGOSTO 2023'!$AA$65='FORMULAS%'!AN$14,(IFERROR(AVERAGEIF(DATOS!J:J,'AGOSTO 2023'!Y94,DATOS!DP:DP),0)))</f>
        <v>1.0409609787464464</v>
      </c>
      <c r="E98" s="16"/>
      <c r="F98" s="265"/>
      <c r="H98" s="158"/>
      <c r="AB98" s="1" t="s">
        <v>377</v>
      </c>
      <c r="AO98">
        <f>DATOS!J100</f>
        <v>0</v>
      </c>
    </row>
    <row r="99" spans="1:41" ht="20.25" x14ac:dyDescent="0.3">
      <c r="A99" s="15"/>
      <c r="B99" s="16"/>
      <c r="C99" s="16"/>
      <c r="D99" s="18"/>
      <c r="E99" s="16"/>
      <c r="F99" s="18"/>
      <c r="H99" s="158"/>
      <c r="AB99" s="1" t="s">
        <v>377</v>
      </c>
      <c r="AO99">
        <f>DATOS!J101</f>
        <v>0</v>
      </c>
    </row>
    <row r="100" spans="1:41" ht="21" thickBot="1" x14ac:dyDescent="0.35">
      <c r="A100" s="19"/>
      <c r="B100" s="20"/>
      <c r="C100" s="20"/>
      <c r="D100" s="21"/>
      <c r="E100" s="20"/>
      <c r="F100" s="21"/>
      <c r="H100" s="158"/>
      <c r="AB100" s="1" t="s">
        <v>377</v>
      </c>
      <c r="AO100">
        <f>DATOS!J102</f>
        <v>0</v>
      </c>
    </row>
    <row r="101" spans="1:41" ht="21" thickBot="1" x14ac:dyDescent="0.35">
      <c r="A101" s="8"/>
      <c r="B101" s="245"/>
      <c r="C101" s="9"/>
      <c r="D101" s="23"/>
      <c r="E101" s="9"/>
      <c r="F101" s="23"/>
      <c r="H101" s="158"/>
      <c r="AB101" s="1" t="s">
        <v>377</v>
      </c>
      <c r="AO101">
        <f>DATOS!J103</f>
        <v>0</v>
      </c>
    </row>
    <row r="102" spans="1:41" ht="21" thickBot="1" x14ac:dyDescent="0.35">
      <c r="A102" s="24"/>
      <c r="B102" s="25"/>
      <c r="C102" s="25"/>
      <c r="D102" s="26"/>
      <c r="E102" s="25"/>
      <c r="F102" s="26"/>
      <c r="H102" s="158"/>
      <c r="AB102" s="1" t="s">
        <v>377</v>
      </c>
      <c r="AO102">
        <f>DATOS!J104</f>
        <v>0</v>
      </c>
    </row>
    <row r="103" spans="1:41" ht="21" thickBot="1" x14ac:dyDescent="0.35">
      <c r="A103" s="28" t="s">
        <v>48</v>
      </c>
      <c r="B103" s="29"/>
      <c r="C103" s="29"/>
      <c r="D103" s="264">
        <f>_xlfn.IFS('AGOSTO 2023'!$AA$65='FORMULAS%'!AN$3,(IFERROR(AVERAGEIF(DATOS!J:J,'AGOSTO 2023'!Y99,DATOS!DE:DE),0)), 'AGOSTO 2023'!$AA$65='FORMULAS%'!AN$4,(IFERROR(AVERAGEIF(DATOS!J:J,'AGOSTO 2023'!Y99,DATOS!DF:DF),0)), 'AGOSTO 2023'!$AA$65='FORMULAS%'!AN$5,(IFERROR(AVERAGEIF(DATOS!J:J,'AGOSTO 2023'!Y99,DATOS!DG:DG),0)), 'AGOSTO 2023'!$AA$65='FORMULAS%'!AN$6,(IFERROR(AVERAGEIF(DATOS!J:J,'AGOSTO 2023'!Y99,DATOS!DH:DH),0)), 'AGOSTO 2023'!$AA$65='FORMULAS%'!AN$7,(IFERROR(AVERAGEIF(DATOS!J:J,'AGOSTO 2023'!Y99,DATOS!DI:DI),0)), 'AGOSTO 2023'!$AA$65='FORMULAS%'!AN$8,(IFERROR(AVERAGEIF(DATOS!J:J,'AGOSTO 2023'!Y99,DATOS!DJ:DJ),0)), 'AGOSTO 2023'!$AA$65='FORMULAS%'!AN$9,(IFERROR(AVERAGEIF(DATOS!J:J,'AGOSTO 2023'!Y99,DATOS!DK:DK),0)), 'AGOSTO 2023'!$AA$65='FORMULAS%'!AN$10,(IFERROR(AVERAGEIF(DATOS!J:J,'AGOSTO 2023'!Y99,DATOS!DL:DL),0)), 'AGOSTO 2023'!$AA$65='FORMULAS%'!AN$11,(IFERROR(AVERAGEIF(DATOS!J:J,'AGOSTO 2023'!Y99,DATOS!DM:DM),0)), 'AGOSTO 2023'!$AA$65='FORMULAS%'!AN$12,(IFERROR(AVERAGEIF(DATOS!J:J,'AGOSTO 2023'!Y99,DATOS!DN:DN),0)), 'AGOSTO 2023'!$AA$65='FORMULAS%'!AN$13,(IFERROR(AVERAGEIF(DATOS!J:J,'AGOSTO 2023'!Y99,DATOS!DO:DO),0)), 'AGOSTO 2023'!$AA$65='FORMULAS%'!AN$14,(IFERROR(AVERAGEIF(DATOS!J:J,'AGOSTO 2023'!Y99,DATOS!DP:DP),0)))</f>
        <v>1</v>
      </c>
      <c r="E103" s="29"/>
      <c r="F103" s="265">
        <f>IFERROR(AVERAGEIF(DATOS!#REF!,'AGOSTO 2023'!A103,DATOS!CR:CR),0)</f>
        <v>0</v>
      </c>
      <c r="H103" s="158"/>
      <c r="AB103" s="1" t="s">
        <v>377</v>
      </c>
      <c r="AO103">
        <f>DATOS!J105</f>
        <v>0</v>
      </c>
    </row>
    <row r="104" spans="1:41" ht="21" thickBot="1" x14ac:dyDescent="0.35">
      <c r="A104" s="28"/>
      <c r="B104" s="29"/>
      <c r="C104" s="29"/>
      <c r="D104" s="31"/>
      <c r="E104" s="29"/>
      <c r="F104" s="31"/>
      <c r="H104" s="158"/>
      <c r="AB104" s="1" t="s">
        <v>377</v>
      </c>
      <c r="AO104">
        <f>DATOS!J106</f>
        <v>0</v>
      </c>
    </row>
    <row r="105" spans="1:41" ht="21" thickBot="1" x14ac:dyDescent="0.35">
      <c r="A105" s="28" t="s">
        <v>49</v>
      </c>
      <c r="B105" s="29"/>
      <c r="C105" s="29"/>
      <c r="D105" s="264">
        <f>_xlfn.IFS('AGOSTO 2023'!$AA$65='FORMULAS%'!AN$3,(IFERROR(AVERAGEIF(DATOS!J:J,'AGOSTO 2023'!Y101,DATOS!DE:DE),0)), 'AGOSTO 2023'!$AA$65='FORMULAS%'!AN$4,(IFERROR(AVERAGEIF(DATOS!J:J,'AGOSTO 2023'!Y101,DATOS!DF:DF),0)), 'AGOSTO 2023'!$AA$65='FORMULAS%'!AN$5,(IFERROR(AVERAGEIF(DATOS!J:J,'AGOSTO 2023'!Y101,DATOS!DG:DG),0)), 'AGOSTO 2023'!$AA$65='FORMULAS%'!AN$6,(IFERROR(AVERAGEIF(DATOS!J:J,'AGOSTO 2023'!Y101,DATOS!DH:DH),0)), 'AGOSTO 2023'!$AA$65='FORMULAS%'!AN$7,(IFERROR(AVERAGEIF(DATOS!J:J,'AGOSTO 2023'!Y101,DATOS!DI:DI),0)), 'AGOSTO 2023'!$AA$65='FORMULAS%'!AN$8,(IFERROR(AVERAGEIF(DATOS!J:J,'AGOSTO 2023'!Y101,DATOS!DJ:DJ),0)), 'AGOSTO 2023'!$AA$65='FORMULAS%'!AN$9,(IFERROR(AVERAGEIF(DATOS!J:J,'AGOSTO 2023'!Y101,DATOS!DK:DK),0)), 'AGOSTO 2023'!$AA$65='FORMULAS%'!AN$10,(IFERROR(AVERAGEIF(DATOS!J:J,'AGOSTO 2023'!Y101,DATOS!DL:DL),0)), 'AGOSTO 2023'!$AA$65='FORMULAS%'!AN$11,(IFERROR(AVERAGEIF(DATOS!J:J,'AGOSTO 2023'!Y101,DATOS!DM:DM),0)), 'AGOSTO 2023'!$AA$65='FORMULAS%'!AN$12,(IFERROR(AVERAGEIF(DATOS!J:J,'AGOSTO 2023'!Y101,DATOS!DN:DN),0)), 'AGOSTO 2023'!$AA$65='FORMULAS%'!AN$13,(IFERROR(AVERAGEIF(DATOS!J:J,'AGOSTO 2023'!Y101,DATOS!DO:DO),0)), 'AGOSTO 2023'!$AA$65='FORMULAS%'!AN$14,(IFERROR(AVERAGEIF(DATOS!J:J,'AGOSTO 2023'!Y101,DATOS!DP:DP),0)))</f>
        <v>1.4477462728551336</v>
      </c>
      <c r="E105" s="29"/>
      <c r="F105" s="265">
        <f>IFERROR(AVERAGEIF(DATOS!#REF!,'AGOSTO 2023'!A105,DATOS!CR:CR),0)</f>
        <v>0</v>
      </c>
      <c r="H105" s="158"/>
      <c r="AB105" s="1" t="s">
        <v>377</v>
      </c>
      <c r="AO105">
        <f>DATOS!J107</f>
        <v>0</v>
      </c>
    </row>
    <row r="106" spans="1:41" ht="21" thickBot="1" x14ac:dyDescent="0.35">
      <c r="A106" s="28"/>
      <c r="B106" s="29"/>
      <c r="C106" s="29"/>
      <c r="D106" s="31"/>
      <c r="E106" s="29"/>
      <c r="F106" s="31"/>
      <c r="H106" s="158"/>
      <c r="AB106" s="1" t="s">
        <v>377</v>
      </c>
      <c r="AO106">
        <f>DATOS!J108</f>
        <v>0</v>
      </c>
    </row>
    <row r="107" spans="1:41" ht="21" thickBot="1" x14ac:dyDescent="0.35">
      <c r="A107" s="28" t="s">
        <v>50</v>
      </c>
      <c r="B107" s="29"/>
      <c r="C107" s="29"/>
      <c r="D107" s="264">
        <f>_xlfn.IFS('AGOSTO 2023'!$AA$65='FORMULAS%'!AN$3,(IFERROR(AVERAGEIF(DATOS!J:J,'AGOSTO 2023'!Y103,DATOS!DE:DE),0)), 'AGOSTO 2023'!$AA$65='FORMULAS%'!AN$4,(IFERROR(AVERAGEIF(DATOS!J:J,'AGOSTO 2023'!Y103,DATOS!DF:DF),0)), 'AGOSTO 2023'!$AA$65='FORMULAS%'!AN$5,(IFERROR(AVERAGEIF(DATOS!J:J,'AGOSTO 2023'!Y103,DATOS!DG:DG),0)), 'AGOSTO 2023'!$AA$65='FORMULAS%'!AN$6,(IFERROR(AVERAGEIF(DATOS!J:J,'AGOSTO 2023'!Y103,DATOS!DH:DH),0)), 'AGOSTO 2023'!$AA$65='FORMULAS%'!AN$7,(IFERROR(AVERAGEIF(DATOS!J:J,'AGOSTO 2023'!Y103,DATOS!DI:DI),0)), 'AGOSTO 2023'!$AA$65='FORMULAS%'!AN$8,(IFERROR(AVERAGEIF(DATOS!J:J,'AGOSTO 2023'!Y103,DATOS!DJ:DJ),0)), 'AGOSTO 2023'!$AA$65='FORMULAS%'!AN$9,(IFERROR(AVERAGEIF(DATOS!J:J,'AGOSTO 2023'!Y103,DATOS!DK:DK),0)), 'AGOSTO 2023'!$AA$65='FORMULAS%'!AN$10,(IFERROR(AVERAGEIF(DATOS!J:J,'AGOSTO 2023'!Y103,DATOS!DL:DL),0)), 'AGOSTO 2023'!$AA$65='FORMULAS%'!AN$11,(IFERROR(AVERAGEIF(DATOS!J:J,'AGOSTO 2023'!Y103,DATOS!DM:DM),0)), 'AGOSTO 2023'!$AA$65='FORMULAS%'!AN$12,(IFERROR(AVERAGEIF(DATOS!J:J,'AGOSTO 2023'!Y103,DATOS!DN:DN),0)), 'AGOSTO 2023'!$AA$65='FORMULAS%'!AN$13,(IFERROR(AVERAGEIF(DATOS!J:J,'AGOSTO 2023'!Y103,DATOS!DO:DO),0)), 'AGOSTO 2023'!$AA$65='FORMULAS%'!AN$14,(IFERROR(AVERAGEIF(DATOS!J:J,'AGOSTO 2023'!Y103,DATOS!DP:DP),0)))</f>
        <v>0.52916666666666667</v>
      </c>
      <c r="E107" s="29"/>
      <c r="F107" s="265">
        <f>IFERROR(AVERAGEIF(DATOS!#REF!,'AGOSTO 2023'!A107,DATOS!CR:CR),0)</f>
        <v>0</v>
      </c>
      <c r="H107" s="158"/>
      <c r="AB107" s="1" t="s">
        <v>377</v>
      </c>
      <c r="AO107">
        <f>DATOS!J109</f>
        <v>0</v>
      </c>
    </row>
    <row r="108" spans="1:41" ht="21" thickBot="1" x14ac:dyDescent="0.35">
      <c r="A108" s="28"/>
      <c r="B108" s="29"/>
      <c r="C108" s="29"/>
      <c r="D108" s="31"/>
      <c r="E108" s="29"/>
      <c r="F108" s="31"/>
      <c r="H108" s="158"/>
      <c r="AB108" s="1" t="s">
        <v>377</v>
      </c>
      <c r="AO108">
        <f>DATOS!J110</f>
        <v>0</v>
      </c>
    </row>
    <row r="109" spans="1:41" ht="21" thickBot="1" x14ac:dyDescent="0.35">
      <c r="A109" s="28" t="s">
        <v>51</v>
      </c>
      <c r="B109" s="29"/>
      <c r="C109" s="29"/>
      <c r="D109" s="264">
        <f>_xlfn.IFS('AGOSTO 2023'!$AA$65='FORMULAS%'!AN$3,(IFERROR(AVERAGEIF(DATOS!J:J,'AGOSTO 2023'!Y105,DATOS!DE:DE),0)), 'AGOSTO 2023'!$AA$65='FORMULAS%'!AN$4,(IFERROR(AVERAGEIF(DATOS!J:J,'AGOSTO 2023'!Y105,DATOS!DF:DF),0)), 'AGOSTO 2023'!$AA$65='FORMULAS%'!AN$5,(IFERROR(AVERAGEIF(DATOS!J:J,'AGOSTO 2023'!Y105,DATOS!DG:DG),0)), 'AGOSTO 2023'!$AA$65='FORMULAS%'!AN$6,(IFERROR(AVERAGEIF(DATOS!J:J,'AGOSTO 2023'!Y105,DATOS!DH:DH),0)), 'AGOSTO 2023'!$AA$65='FORMULAS%'!AN$7,(IFERROR(AVERAGEIF(DATOS!J:J,'AGOSTO 2023'!Y105,DATOS!DI:DI),0)), 'AGOSTO 2023'!$AA$65='FORMULAS%'!AN$8,(IFERROR(AVERAGEIF(DATOS!J:J,'AGOSTO 2023'!Y105,DATOS!DJ:DJ),0)), 'AGOSTO 2023'!$AA$65='FORMULAS%'!AN$9,(IFERROR(AVERAGEIF(DATOS!J:J,'AGOSTO 2023'!Y105,DATOS!DK:DK),0)), 'AGOSTO 2023'!$AA$65='FORMULAS%'!AN$10,(IFERROR(AVERAGEIF(DATOS!J:J,'AGOSTO 2023'!Y105,DATOS!DL:DL),0)), 'AGOSTO 2023'!$AA$65='FORMULAS%'!AN$11,(IFERROR(AVERAGEIF(DATOS!J:J,'AGOSTO 2023'!Y105,DATOS!DM:DM),0)), 'AGOSTO 2023'!$AA$65='FORMULAS%'!AN$12,(IFERROR(AVERAGEIF(DATOS!J:J,'AGOSTO 2023'!Y105,DATOS!DN:DN),0)), 'AGOSTO 2023'!$AA$65='FORMULAS%'!AN$13,(IFERROR(AVERAGEIF(DATOS!J:J,'AGOSTO 2023'!Y105,DATOS!DO:DO),0)), 'AGOSTO 2023'!$AA$65='FORMULAS%'!AN$14,(IFERROR(AVERAGEIF(DATOS!J:J,'AGOSTO 2023'!Y105,DATOS!DP:DP),0)))</f>
        <v>1.0752380952380953</v>
      </c>
      <c r="E109" s="29"/>
      <c r="F109" s="265">
        <f>IFERROR(AVERAGEIF(DATOS!#REF!,'AGOSTO 2023'!A109,DATOS!CR:CR),0)</f>
        <v>0</v>
      </c>
      <c r="H109" s="158"/>
      <c r="AB109" s="1" t="s">
        <v>377</v>
      </c>
      <c r="AO109">
        <f>DATOS!J111</f>
        <v>0</v>
      </c>
    </row>
    <row r="110" spans="1:41" ht="21" thickBot="1" x14ac:dyDescent="0.35">
      <c r="A110" s="32"/>
      <c r="B110" s="33"/>
      <c r="C110" s="33"/>
      <c r="D110" s="34"/>
      <c r="E110" s="33"/>
      <c r="F110" s="34"/>
      <c r="H110" s="158"/>
      <c r="AB110" s="1" t="s">
        <v>377</v>
      </c>
      <c r="AO110">
        <f>DATOS!J112</f>
        <v>0</v>
      </c>
    </row>
    <row r="111" spans="1:41" ht="21" thickBot="1" x14ac:dyDescent="0.35">
      <c r="A111" s="8"/>
      <c r="B111" s="245"/>
      <c r="C111" s="9"/>
      <c r="D111" s="23"/>
      <c r="E111" s="9"/>
      <c r="F111" s="23"/>
      <c r="H111" s="158"/>
      <c r="AB111" s="1" t="s">
        <v>377</v>
      </c>
      <c r="AO111">
        <f>DATOS!J113</f>
        <v>0</v>
      </c>
    </row>
    <row r="112" spans="1:41" ht="21" thickBot="1" x14ac:dyDescent="0.35">
      <c r="A112" s="36"/>
      <c r="B112" s="37"/>
      <c r="C112" s="37"/>
      <c r="D112" s="38"/>
      <c r="E112" s="37"/>
      <c r="F112" s="38"/>
      <c r="H112" s="158"/>
      <c r="AB112" s="1" t="s">
        <v>377</v>
      </c>
      <c r="AO112">
        <f>DATOS!J114</f>
        <v>0</v>
      </c>
    </row>
    <row r="113" spans="1:41" ht="21" thickBot="1" x14ac:dyDescent="0.35">
      <c r="A113" s="40" t="s">
        <v>52</v>
      </c>
      <c r="B113" s="41"/>
      <c r="C113" s="41"/>
      <c r="D113" s="264">
        <f>_xlfn.IFS('AGOSTO 2023'!$AA$65='FORMULAS%'!AN$3,(IFERROR(AVERAGEIF(DATOS!J:J,'AGOSTO 2023'!Y109,DATOS!DE:DE),0)), 'AGOSTO 2023'!$AA$65='FORMULAS%'!AN$4,(IFERROR(AVERAGEIF(DATOS!J:J,'AGOSTO 2023'!Y109,DATOS!DF:DF),0)), 'AGOSTO 2023'!$AA$65='FORMULAS%'!AN$5,(IFERROR(AVERAGEIF(DATOS!J:J,'AGOSTO 2023'!Y109,DATOS!DG:DG),0)), 'AGOSTO 2023'!$AA$65='FORMULAS%'!AN$6,(IFERROR(AVERAGEIF(DATOS!J:J,'AGOSTO 2023'!Y109,DATOS!DH:DH),0)), 'AGOSTO 2023'!$AA$65='FORMULAS%'!AN$7,(IFERROR(AVERAGEIF(DATOS!J:J,'AGOSTO 2023'!Y109,DATOS!DI:DI),0)), 'AGOSTO 2023'!$AA$65='FORMULAS%'!AN$8,(IFERROR(AVERAGEIF(DATOS!J:J,'AGOSTO 2023'!Y109,DATOS!DJ:DJ),0)), 'AGOSTO 2023'!$AA$65='FORMULAS%'!AN$9,(IFERROR(AVERAGEIF(DATOS!J:J,'AGOSTO 2023'!Y109,DATOS!DK:DK),0)), 'AGOSTO 2023'!$AA$65='FORMULAS%'!AN$10,(IFERROR(AVERAGEIF(DATOS!J:J,'AGOSTO 2023'!Y109,DATOS!DL:DL),0)), 'AGOSTO 2023'!$AA$65='FORMULAS%'!AN$11,(IFERROR(AVERAGEIF(DATOS!J:J,'AGOSTO 2023'!Y109,DATOS!DM:DM),0)), 'AGOSTO 2023'!$AA$65='FORMULAS%'!AN$12,(IFERROR(AVERAGEIF(DATOS!J:J,'AGOSTO 2023'!Y109,DATOS!DN:DN),0)), 'AGOSTO 2023'!$AA$65='FORMULAS%'!AN$13,(IFERROR(AVERAGEIF(DATOS!J:J,'AGOSTO 2023'!Y109,DATOS!DO:DO),0)), 'AGOSTO 2023'!$AA$65='FORMULAS%'!AN$14,(IFERROR(AVERAGEIF(DATOS!J:J,'AGOSTO 2023'!Y109,DATOS!DP:DP),0)))</f>
        <v>1.0201710203707521</v>
      </c>
      <c r="E113" s="41"/>
      <c r="F113" s="265">
        <f>IFERROR(AVERAGEIF(DATOS!#REF!,'AGOSTO 2023'!A113,DATOS!CR:CR),0)</f>
        <v>0</v>
      </c>
      <c r="H113" s="158"/>
      <c r="AO113">
        <f>DATOS!J115</f>
        <v>0</v>
      </c>
    </row>
    <row r="114" spans="1:41" ht="21" thickBot="1" x14ac:dyDescent="0.35">
      <c r="A114" s="40"/>
      <c r="B114" s="41"/>
      <c r="C114" s="41"/>
      <c r="D114" s="43"/>
      <c r="E114" s="41"/>
      <c r="F114" s="43"/>
      <c r="H114" s="158"/>
      <c r="AO114">
        <f>DATOS!J116</f>
        <v>0</v>
      </c>
    </row>
    <row r="115" spans="1:41" ht="21" thickBot="1" x14ac:dyDescent="0.35">
      <c r="A115" s="40" t="s">
        <v>53</v>
      </c>
      <c r="B115" s="41"/>
      <c r="C115" s="41"/>
      <c r="D115" s="264">
        <f>_xlfn.IFS('AGOSTO 2023'!$AA$65='FORMULAS%'!AN$3,(IFERROR(AVERAGEIF(DATOS!J:J,'AGOSTO 2023'!Y111,DATOS!DE:DE),0)), 'AGOSTO 2023'!$AA$65='FORMULAS%'!AN$4,(IFERROR(AVERAGEIF(DATOS!J:J,'AGOSTO 2023'!Y111,DATOS!DF:DF),0)), 'AGOSTO 2023'!$AA$65='FORMULAS%'!AN$5,(IFERROR(AVERAGEIF(DATOS!J:J,'AGOSTO 2023'!Y111,DATOS!DG:DG),0)), 'AGOSTO 2023'!$AA$65='FORMULAS%'!AN$6,(IFERROR(AVERAGEIF(DATOS!J:J,'AGOSTO 2023'!Y111,DATOS!DH:DH),0)), 'AGOSTO 2023'!$AA$65='FORMULAS%'!AN$7,(IFERROR(AVERAGEIF(DATOS!J:J,'AGOSTO 2023'!Y111,DATOS!DI:DI),0)), 'AGOSTO 2023'!$AA$65='FORMULAS%'!AN$8,(IFERROR(AVERAGEIF(DATOS!J:J,'AGOSTO 2023'!Y111,DATOS!DJ:DJ),0)), 'AGOSTO 2023'!$AA$65='FORMULAS%'!AN$9,(IFERROR(AVERAGEIF(DATOS!J:J,'AGOSTO 2023'!Y111,DATOS!DK:DK),0)), 'AGOSTO 2023'!$AA$65='FORMULAS%'!AN$10,(IFERROR(AVERAGEIF(DATOS!J:J,'AGOSTO 2023'!Y111,DATOS!DL:DL),0)), 'AGOSTO 2023'!$AA$65='FORMULAS%'!AN$11,(IFERROR(AVERAGEIF(DATOS!J:J,'AGOSTO 2023'!Y111,DATOS!DM:DM),0)), 'AGOSTO 2023'!$AA$65='FORMULAS%'!AN$12,(IFERROR(AVERAGEIF(DATOS!J:J,'AGOSTO 2023'!Y111,DATOS!DN:DN),0)), 'AGOSTO 2023'!$AA$65='FORMULAS%'!AN$13,(IFERROR(AVERAGEIF(DATOS!J:J,'AGOSTO 2023'!Y111,DATOS!DO:DO),0)), 'AGOSTO 2023'!$AA$65='FORMULAS%'!AN$14,(IFERROR(AVERAGEIF(DATOS!J:J,'AGOSTO 2023'!Y111,DATOS!DP:DP),0)))</f>
        <v>1</v>
      </c>
      <c r="E115" s="41"/>
      <c r="F115" s="265">
        <f>IFERROR(AVERAGEIF(DATOS!#REF!,'AGOSTO 2023'!A115,DATOS!CR:CR),0)</f>
        <v>0</v>
      </c>
      <c r="H115" s="158"/>
      <c r="AO115">
        <f>DATOS!J117</f>
        <v>0</v>
      </c>
    </row>
    <row r="116" spans="1:41" x14ac:dyDescent="0.25">
      <c r="AO116">
        <f>DATOS!J118</f>
        <v>0</v>
      </c>
    </row>
    <row r="117" spans="1:41" x14ac:dyDescent="0.25">
      <c r="AO117">
        <f>DATOS!J119</f>
        <v>0</v>
      </c>
    </row>
    <row r="118" spans="1:41" x14ac:dyDescent="0.25">
      <c r="AO118">
        <f>DATOS!J120</f>
        <v>0</v>
      </c>
    </row>
    <row r="119" spans="1:41" x14ac:dyDescent="0.25">
      <c r="AO119">
        <f>DATOS!J121</f>
        <v>0</v>
      </c>
    </row>
    <row r="120" spans="1:41" x14ac:dyDescent="0.25">
      <c r="AO120">
        <f>DATOS!J122</f>
        <v>0</v>
      </c>
    </row>
    <row r="121" spans="1:41" x14ac:dyDescent="0.25">
      <c r="AO121">
        <f>DATOS!J123</f>
        <v>0</v>
      </c>
    </row>
    <row r="122" spans="1:41" x14ac:dyDescent="0.25">
      <c r="AO122">
        <f>DATOS!J124</f>
        <v>0</v>
      </c>
    </row>
    <row r="123" spans="1:41" x14ac:dyDescent="0.25">
      <c r="AO123">
        <f>DATOS!J125</f>
        <v>0</v>
      </c>
    </row>
    <row r="124" spans="1:41" x14ac:dyDescent="0.25">
      <c r="AO124">
        <f>DATOS!J126</f>
        <v>0</v>
      </c>
    </row>
    <row r="125" spans="1:41" x14ac:dyDescent="0.25">
      <c r="AO125">
        <f>DATOS!J127</f>
        <v>0</v>
      </c>
    </row>
    <row r="126" spans="1:41" x14ac:dyDescent="0.25">
      <c r="AO126">
        <f>DATOS!J128</f>
        <v>0</v>
      </c>
    </row>
    <row r="127" spans="1:41" x14ac:dyDescent="0.25">
      <c r="AO127">
        <f>DATOS!J129</f>
        <v>0</v>
      </c>
    </row>
    <row r="128" spans="1:41" x14ac:dyDescent="0.25">
      <c r="AO128">
        <f>DATOS!J130</f>
        <v>0</v>
      </c>
    </row>
    <row r="129" spans="41:41" x14ac:dyDescent="0.25">
      <c r="AO129">
        <f>DATOS!J131</f>
        <v>0</v>
      </c>
    </row>
    <row r="130" spans="41:41" x14ac:dyDescent="0.25">
      <c r="AO130">
        <f>DATOS!J132</f>
        <v>0</v>
      </c>
    </row>
    <row r="131" spans="41:41" x14ac:dyDescent="0.25">
      <c r="AO131">
        <f>DATOS!J133</f>
        <v>0</v>
      </c>
    </row>
    <row r="132" spans="41:41" x14ac:dyDescent="0.25">
      <c r="AO132">
        <f>DATOS!J134</f>
        <v>0</v>
      </c>
    </row>
    <row r="133" spans="41:41" x14ac:dyDescent="0.25">
      <c r="AO133">
        <f>DATOS!J135</f>
        <v>0</v>
      </c>
    </row>
    <row r="134" spans="41:41" x14ac:dyDescent="0.25">
      <c r="AO134">
        <f>DATOS!J136</f>
        <v>0</v>
      </c>
    </row>
    <row r="135" spans="41:41" x14ac:dyDescent="0.25">
      <c r="AO135">
        <f>DATOS!J137</f>
        <v>0</v>
      </c>
    </row>
    <row r="136" spans="41:41" x14ac:dyDescent="0.25">
      <c r="AO136">
        <f>DATOS!J138</f>
        <v>0</v>
      </c>
    </row>
    <row r="137" spans="41:41" x14ac:dyDescent="0.25">
      <c r="AO137">
        <f>DATOS!J139</f>
        <v>0</v>
      </c>
    </row>
    <row r="138" spans="41:41" x14ac:dyDescent="0.25">
      <c r="AO138">
        <f>DATOS!J140</f>
        <v>0</v>
      </c>
    </row>
    <row r="139" spans="41:41" x14ac:dyDescent="0.25">
      <c r="AO139">
        <f>DATOS!J141</f>
        <v>0</v>
      </c>
    </row>
    <row r="140" spans="41:41" x14ac:dyDescent="0.25">
      <c r="AO140">
        <f>DATOS!J142</f>
        <v>0</v>
      </c>
    </row>
    <row r="141" spans="41:41" x14ac:dyDescent="0.25">
      <c r="AO141">
        <f>DATOS!J143</f>
        <v>0</v>
      </c>
    </row>
    <row r="142" spans="41:41" x14ac:dyDescent="0.25">
      <c r="AO142">
        <f>DATOS!J144</f>
        <v>0</v>
      </c>
    </row>
    <row r="143" spans="41:41" x14ac:dyDescent="0.25">
      <c r="AO143">
        <f>DATOS!J145</f>
        <v>0</v>
      </c>
    </row>
    <row r="144" spans="41:41" x14ac:dyDescent="0.25">
      <c r="AO144">
        <f>DATOS!J146</f>
        <v>0</v>
      </c>
    </row>
    <row r="145" spans="41:41" x14ac:dyDescent="0.25">
      <c r="AO145">
        <f>DATOS!J147</f>
        <v>0</v>
      </c>
    </row>
    <row r="146" spans="41:41" x14ac:dyDescent="0.25">
      <c r="AO146">
        <f>DATOS!J148</f>
        <v>0</v>
      </c>
    </row>
    <row r="147" spans="41:41" x14ac:dyDescent="0.25">
      <c r="AO147">
        <f>DATOS!J149</f>
        <v>0</v>
      </c>
    </row>
    <row r="148" spans="41:41" x14ac:dyDescent="0.25">
      <c r="AO148">
        <f>DATOS!J150</f>
        <v>0</v>
      </c>
    </row>
    <row r="149" spans="41:41" x14ac:dyDescent="0.25">
      <c r="AO149">
        <f>DATOS!J151</f>
        <v>0</v>
      </c>
    </row>
  </sheetData>
  <mergeCells count="2">
    <mergeCell ref="M39:V39"/>
    <mergeCell ref="L56:U56"/>
  </mergeCells>
  <dataValidations disablePrompts="1" count="2">
    <dataValidation allowBlank="1" showInputMessage="1" showErrorMessage="1" promptTitle="PROCESO" prompt="Identifica el nombre del proceso al cual pertenece el indicador." sqref="A1 I1:J1" xr:uid="{0110AA36-334A-42C7-9F22-1D7B83BC5DA9}"/>
    <dataValidation allowBlank="1" showInputMessage="1" showErrorMessage="1" promptTitle="PRODUCTO/SERVICIO" prompt="Identifica el nombre del producto o servicio." sqref="A15 A22" xr:uid="{744F4E6B-0E0B-4D20-90D0-91AE64B56641}"/>
  </dataValidations>
  <pageMargins left="0.7" right="0.7" top="0.75" bottom="0.75" header="0.3" footer="0.3"/>
  <pageSetup orientation="portrait" r:id="rId1"/>
  <drawing r:id="rId2"/>
  <legacyDrawing r:id="rId3"/>
  <tableParts count="12">
    <tablePart r:id="rId4"/>
    <tablePart r:id="rId5"/>
    <tablePart r:id="rId6"/>
    <tablePart r:id="rId7"/>
    <tablePart r:id="rId8"/>
    <tablePart r:id="rId9"/>
    <tablePart r:id="rId10"/>
    <tablePart r:id="rId11"/>
    <tablePart r:id="rId12"/>
    <tablePart r:id="rId13"/>
    <tablePart r:id="rId14"/>
    <tablePart r:id="rId1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AGOSTO 2023</vt:lpstr>
      <vt:lpstr>PRINCIPAL (2)</vt:lpstr>
      <vt:lpstr>Con otro color</vt:lpstr>
      <vt:lpstr>DATOS</vt:lpstr>
      <vt:lpstr>EJECUCIÓN DIF</vt:lpstr>
      <vt:lpstr>FORMULAS%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Yulieth Vela Mojica</dc:creator>
  <cp:keywords/>
  <dc:description/>
  <cp:lastModifiedBy>yulieth vela</cp:lastModifiedBy>
  <cp:revision/>
  <dcterms:created xsi:type="dcterms:W3CDTF">2022-04-07T20:37:14Z</dcterms:created>
  <dcterms:modified xsi:type="dcterms:W3CDTF">2023-09-26T01:27:04Z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name="NXPowerLiteLastOptimized" pid="2">
    <vt:lpwstr>695059</vt:lpwstr>
  </property>
  <property fmtid="{D5CDD505-2E9C-101B-9397-08002B2CF9AE}" name="NXPowerLiteSettings" pid="3">
    <vt:lpwstr>C7000400038000</vt:lpwstr>
  </property>
  <property fmtid="{D5CDD505-2E9C-101B-9397-08002B2CF9AE}" name="NXPowerLiteVersion" pid="4">
    <vt:lpwstr>S10.0.0</vt:lpwstr>
  </property>
</Properties>
</file>